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Exh.14-2" sheetId="1" r:id="rId1"/>
    <sheet name="14.3APVexmplMarginalInvestor" sheetId="2" r:id="rId2"/>
    <sheet name="14B-1APVexmplPensionFund" sheetId="3" r:id="rId3"/>
    <sheet name="14.3APVexmplC-Corp" sheetId="4" r:id="rId4"/>
    <sheet name="C-Corp (Commercial)" sheetId="5" r:id="rId5"/>
    <sheet name="StQu14-18" sheetId="6" r:id="rId6"/>
  </sheets>
  <definedNames>
    <definedName name="_xlnm.Print_Area" localSheetId="3">'14.3APVexmplC-Corp'!$A$47:$N$74</definedName>
    <definedName name="_xlnm.Print_Area" localSheetId="1">'14.3APVexmplMarginalInvestor'!$A$47:$N$74</definedName>
    <definedName name="_xlnm.Print_Area" localSheetId="2">'14B-1APVexmplPensionFund'!$A$47:$N$74</definedName>
    <definedName name="_xlnm.Print_Area" localSheetId="4">'C-Corp (Commercial)'!$A$47:$N$74</definedName>
    <definedName name="_xlnm.Print_Area" localSheetId="0">'Exh.14-2'!$A$46:$N$73</definedName>
    <definedName name="_xlnm.Print_Area" localSheetId="5">'StQu14-18'!$A$60:$N$87</definedName>
  </definedNames>
  <calcPr fullCalcOnLoad="1"/>
</workbook>
</file>

<file path=xl/sharedStrings.xml><?xml version="1.0" encoding="utf-8"?>
<sst xmlns="http://schemas.openxmlformats.org/spreadsheetml/2006/main" count="643" uniqueCount="158">
  <si>
    <t>Apprec.Rate  =</t>
  </si>
  <si>
    <t>Bldg.Val/Prop.Val=</t>
  </si>
  <si>
    <t>Loan=</t>
  </si>
  <si>
    <t xml:space="preserve">Yield  =  </t>
  </si>
  <si>
    <t>Depreciable Life=</t>
  </si>
  <si>
    <t>years</t>
  </si>
  <si>
    <t>Int=</t>
  </si>
  <si>
    <t>Income Tax Rate  =</t>
  </si>
  <si>
    <t>CGTax Rate =</t>
  </si>
  <si>
    <t>Amort/yr</t>
  </si>
  <si>
    <t>DepRecapture Rate=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</si>
  <si>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</si>
  <si>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</si>
  <si>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</si>
  <si>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</si>
  <si>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</si>
  <si>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</si>
  <si>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</si>
  <si>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</si>
  <si>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</si>
  <si>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</si>
  <si>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</si>
  <si>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</si>
  <si>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</si>
  <si>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tax w/out</t>
  </si>
  <si>
    <t>(4)-(5)+(6)</t>
  </si>
  <si>
    <t xml:space="preserve"> Loan</t>
  </si>
  <si>
    <t>(4)-(9)</t>
  </si>
  <si>
    <t>(7)-(9)+(10)</t>
  </si>
  <si>
    <t>(9)-(10)</t>
  </si>
  <si>
    <t>Year</t>
  </si>
  <si>
    <t>Prop.Val</t>
  </si>
  <si>
    <t>NOI</t>
  </si>
  <si>
    <t>CI</t>
  </si>
  <si>
    <t>PBTCF</t>
  </si>
  <si>
    <t>shields</t>
  </si>
  <si>
    <t xml:space="preserve"> DTS</t>
  </si>
  <si>
    <t xml:space="preserve"> PATCF</t>
  </si>
  <si>
    <t>LoanBal</t>
  </si>
  <si>
    <t>DS</t>
  </si>
  <si>
    <t>ITS</t>
  </si>
  <si>
    <t xml:space="preserve"> EBTCF</t>
  </si>
  <si>
    <t xml:space="preserve"> EATCF</t>
  </si>
  <si>
    <t>LoanATCF</t>
  </si>
  <si>
    <t>EATCF</t>
  </si>
  <si>
    <t>IRR of above CF Stream  =</t>
  </si>
  <si>
    <t>Property (Before-Debt) Proforma...</t>
  </si>
  <si>
    <t>Year:</t>
  </si>
  <si>
    <t>Oper.</t>
  </si>
  <si>
    <t>Reversion</t>
  </si>
  <si>
    <t>Rever.</t>
  </si>
  <si>
    <t>Total</t>
  </si>
  <si>
    <t>Operating:</t>
  </si>
  <si>
    <t>Yr.10</t>
  </si>
  <si>
    <t>Item</t>
  </si>
  <si>
    <t>Accrual Items:</t>
  </si>
  <si>
    <t>Sale Price</t>
  </si>
  <si>
    <t>- DE</t>
  </si>
  <si>
    <t>- Book Val</t>
  </si>
  <si>
    <t>=PNIBT</t>
  </si>
  <si>
    <t>=Book Gain</t>
  </si>
  <si>
    <t>- IncTax</t>
  </si>
  <si>
    <t>- CGT</t>
  </si>
  <si>
    <t>=PNIAT</t>
  </si>
  <si>
    <t>=Gain A.T.</t>
  </si>
  <si>
    <t>Adjusting Accrual to Reflect Cash Flow:</t>
  </si>
  <si>
    <t>- CI</t>
  </si>
  <si>
    <t>+DE</t>
  </si>
  <si>
    <t>+ Book Val</t>
  </si>
  <si>
    <t>=PATCF</t>
  </si>
  <si>
    <t>PATCF</t>
  </si>
  <si>
    <t>+ IncTax</t>
  </si>
  <si>
    <t>+ CGT</t>
  </si>
  <si>
    <t>=PBTCF</t>
  </si>
  <si>
    <t>Exhibit 14-2: Example After-Tax Income &amp; Cash Flow Proformas . . .</t>
  </si>
  <si>
    <t>Property Purchase Price (Year 0):</t>
  </si>
  <si>
    <t>Unlevered:</t>
  </si>
  <si>
    <t>Levered:</t>
  </si>
  <si>
    <t>Depreciable Cost Basis:</t>
  </si>
  <si>
    <t>Before-tax IRR:</t>
  </si>
  <si>
    <t>Ordinary Income Tax Rate:</t>
  </si>
  <si>
    <t>After-tax IRR:</t>
  </si>
  <si>
    <t>Capital Gains Tax Rate:</t>
  </si>
  <si>
    <t>Ratio AT/BT:</t>
  </si>
  <si>
    <t>Depreciation Recapture Rate:</t>
  </si>
  <si>
    <t>____________________</t>
  </si>
  <si>
    <t>Item:</t>
  </si>
  <si>
    <t>- Depr.Exp.</t>
  </si>
  <si>
    <t>- Int.Exp.</t>
  </si>
  <si>
    <t>=Net Income (BT)</t>
  </si>
  <si>
    <t>=Net Income (AT)</t>
  </si>
  <si>
    <t>=Gain (AT)</t>
  </si>
  <si>
    <t>- Cap. Imprv. Expdtr.</t>
  </si>
  <si>
    <t>+ Depr.Exp.</t>
  </si>
  <si>
    <t>-DebtAmort</t>
  </si>
  <si>
    <t>-LoanBal</t>
  </si>
  <si>
    <t>=EATCF</t>
  </si>
  <si>
    <t>=EBTCF</t>
  </si>
  <si>
    <t>CASH FLOW COMPONENTS FORMAT</t>
  </si>
  <si>
    <t>- Debt Svc</t>
  </si>
  <si>
    <t>- LoanBal</t>
  </si>
  <si>
    <t>-taxNOI</t>
  </si>
  <si>
    <t>taxMktGain</t>
  </si>
  <si>
    <t>+ DTS</t>
  </si>
  <si>
    <t>- AccDTS</t>
  </si>
  <si>
    <t>+ ITS</t>
  </si>
  <si>
    <t>Geltner-Miller 3rd Edition, Chapter 14, Exhibit 14-2 Data</t>
  </si>
  <si>
    <t>Section 14.3 APV Valuation By Components Exhibits Data: Marginal Investor</t>
  </si>
  <si>
    <t>= PV(margl)Equity</t>
  </si>
  <si>
    <t>= APV(margl)</t>
  </si>
  <si>
    <t>PV(DTS)=</t>
  </si>
  <si>
    <t>PV(combi)=</t>
  </si>
  <si>
    <t>Prop:</t>
  </si>
  <si>
    <t>Loan:</t>
  </si>
  <si>
    <t>= Implied IV property</t>
  </si>
  <si>
    <t>PV(margl)=</t>
  </si>
  <si>
    <t>Prop NPV=</t>
  </si>
  <si>
    <t>loan NPV=</t>
  </si>
  <si>
    <t>= PV @ EATOCC(M)</t>
  </si>
  <si>
    <t>PV(fixed)=</t>
  </si>
  <si>
    <t>PV(risky)=</t>
  </si>
  <si>
    <t>PV(sum)</t>
  </si>
  <si>
    <t>= NPV EATCFs (margl)</t>
  </si>
  <si>
    <t>= Implied IV</t>
  </si>
  <si>
    <t>Debt Mkt Margl Tax Rate=</t>
  </si>
  <si>
    <t>LoanATCF&amp;Val</t>
  </si>
  <si>
    <t>DS - ITS</t>
  </si>
  <si>
    <t>Fixed</t>
  </si>
  <si>
    <t>Risky</t>
  </si>
  <si>
    <t>= PV(PF)Equity</t>
  </si>
  <si>
    <t>= APV(PF)</t>
  </si>
  <si>
    <t>PV(PF)=</t>
  </si>
  <si>
    <t>= NPV EATCFs (PF)</t>
  </si>
  <si>
    <t>Section 14.3 APV Valuation By Components Exhibits Data: Taxed Corporation (Double-Taxation)</t>
  </si>
  <si>
    <t>= PV(corp)Equity</t>
  </si>
  <si>
    <t>= APV(corp)</t>
  </si>
  <si>
    <t>= NPV EATCFs (corp)</t>
  </si>
  <si>
    <t>Section 14.3 APV Valuation By Components Exhibits Data: Taxed Corporation (Double-Taxation), Commercial Building</t>
  </si>
  <si>
    <t>Calculation of typical value of Depreciation Tax Shield (DTS)</t>
  </si>
  <si>
    <t>in 10-year horizon, levered income property investment...</t>
  </si>
  <si>
    <t xml:space="preserve">(a) </t>
  </si>
  <si>
    <t xml:space="preserve">(b)  </t>
  </si>
  <si>
    <t>(c)</t>
  </si>
  <si>
    <t>(d)</t>
  </si>
  <si>
    <t>(e)</t>
  </si>
  <si>
    <t>(Perpetuity formula)</t>
  </si>
  <si>
    <t>(f)</t>
  </si>
  <si>
    <t xml:space="preserve">(g) </t>
  </si>
  <si>
    <t xml:space="preserve">(h) </t>
  </si>
  <si>
    <t>(i)</t>
  </si>
  <si>
    <t>=1-T.</t>
  </si>
  <si>
    <t>= Eff.Tax rate levered</t>
  </si>
  <si>
    <t>= Eff.Tax Rate unlevered</t>
  </si>
  <si>
    <t xml:space="preserve">However, this is not really an argument for debt financing, as such financing increases the equity investor's risk and </t>
  </si>
  <si>
    <t>the after-tax price of risk (and hence required risk premium) is greater than the before-tax risk premium.</t>
  </si>
  <si>
    <t>Exhibit 14-1: Example After-Tax Income &amp; Cash Flow Proformas . . .</t>
  </si>
  <si>
    <t>Study Question 14-18 (3rd Edition)</t>
  </si>
  <si>
    <t>Appendix 14B APV Valuation By Components Exhibits Data: Exh.14B-1 Tax-Exempt Pension Fund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</si>
</sst>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&quot;$&quot;#,##0.00"/>
    <numFmt numFmtId="167" formatCode="0.0%"/>
    <numFmt numFmtId="168" formatCode="&quot;$&quot;#,##0"/>
    <numFmt numFmtId="169" formatCode="0.0000000000%"/>
    <numFmt numFmtId="170" formatCode="0.000000000000000%"/>
    <numFmt numFmtId="171" formatCode="0.0000"/>
    <numFmt numFmtId="172" formatCode="0.00000000000000%"/>
    <numFmt numFmtId="173" formatCode="0.0000000000000000%"/>
    <numFmt numFmtId="174" formatCode="#,##0.0000_);\(#,##0.0000\)"/>
    <numFmt numFmtId="175" formatCode="#,##0.000_);\(#,##0.000\)"/>
  </numFmts>
  <fonts count="52">
    <font>
      <sz val="12"/>
      <name val="Arial MT"/>
      <family val="0"/>
    </font>
    <font>
      <sz val="10"/>
      <name val="Arial"/>
      <family val="0"/>
    </font>
    <font>
      <u val="single"/>
      <sz val="6"/>
      <color indexed="36"/>
      <name val="Arial MT"/>
      <family val="0"/>
    </font>
    <font>
      <u val="single"/>
      <sz val="6"/>
      <color indexed="12"/>
      <name val="Arial MT"/>
      <family val="0"/>
    </font>
    <font>
      <sz val="12"/>
      <color indexed="14"/>
      <name val="Arial MT"/>
      <family val="0"/>
    </font>
    <font>
      <sz val="14"/>
      <color indexed="14"/>
      <name val="Arial MT"/>
      <family val="0"/>
    </font>
    <font>
      <sz val="12"/>
      <color indexed="12"/>
      <name val="Arial MT"/>
      <family val="0"/>
    </font>
    <font>
      <sz val="12"/>
      <color indexed="17"/>
      <name val="Arial MT"/>
      <family val="0"/>
    </font>
    <font>
      <sz val="12"/>
      <color indexed="10"/>
      <name val="Arial MT"/>
      <family val="0"/>
    </font>
    <font>
      <sz val="14"/>
      <name val="Arial MT"/>
      <family val="0"/>
    </font>
    <font>
      <sz val="14"/>
      <color indexed="12"/>
      <name val="Arial MT"/>
      <family val="0"/>
    </font>
    <font>
      <sz val="14"/>
      <color indexed="17"/>
      <name val="Arial MT"/>
      <family val="0"/>
    </font>
    <font>
      <sz val="14"/>
      <color indexed="10"/>
      <name val="Arial MT"/>
      <family val="0"/>
    </font>
    <font>
      <sz val="10"/>
      <name val="Arial MT"/>
      <family val="0"/>
    </font>
    <font>
      <b/>
      <u val="single"/>
      <sz val="18"/>
      <name val="Arial MT"/>
      <family val="2"/>
    </font>
    <font>
      <sz val="11"/>
      <name val="Arial MT"/>
      <family val="0"/>
    </font>
    <font>
      <b/>
      <sz val="18"/>
      <name val="Arial MT"/>
      <family val="0"/>
    </font>
    <font>
      <b/>
      <sz val="16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>
      <alignment/>
    </xf>
    <xf numFmtId="5" fontId="4" fillId="0" borderId="0" xfId="0" applyNumberFormat="1" applyFont="1" applyAlignment="1" applyProtection="1">
      <alignment/>
      <protection/>
    </xf>
    <xf numFmtId="0" fontId="4" fillId="0" borderId="0" xfId="0" applyFont="1" applyAlignment="1" quotePrefix="1">
      <alignment/>
    </xf>
    <xf numFmtId="168" fontId="5" fillId="0" borderId="0" xfId="0" applyNumberFormat="1" applyFont="1" applyAlignment="1">
      <alignment/>
    </xf>
    <xf numFmtId="5" fontId="6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 applyProtection="1">
      <alignment/>
      <protection/>
    </xf>
    <xf numFmtId="5" fontId="10" fillId="0" borderId="0" xfId="0" applyNumberFormat="1" applyFont="1" applyAlignment="1" applyProtection="1">
      <alignment/>
      <protection/>
    </xf>
    <xf numFmtId="5" fontId="11" fillId="0" borderId="0" xfId="0" applyNumberFormat="1" applyFont="1" applyAlignment="1" applyProtection="1">
      <alignment/>
      <protection/>
    </xf>
    <xf numFmtId="5" fontId="12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0" xfId="0" applyFont="1" applyAlignment="1" quotePrefix="1">
      <alignment/>
    </xf>
    <xf numFmtId="8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10" fontId="0" fillId="0" borderId="0" xfId="0" applyNumberFormat="1" applyAlignment="1" quotePrefix="1">
      <alignment/>
    </xf>
    <xf numFmtId="5" fontId="0" fillId="0" borderId="0" xfId="0" applyNumberFormat="1" applyAlignment="1" applyProtection="1">
      <alignment horizontal="center"/>
      <protection/>
    </xf>
    <xf numFmtId="0" fontId="0" fillId="0" borderId="0" xfId="0" applyAlignment="1" quotePrefix="1">
      <alignment/>
    </xf>
    <xf numFmtId="5" fontId="0" fillId="0" borderId="0" xfId="0" applyNumberFormat="1" applyAlignment="1" applyProtection="1">
      <alignment horizontal="left"/>
      <protection/>
    </xf>
    <xf numFmtId="5" fontId="0" fillId="0" borderId="0" xfId="0" applyNumberFormat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5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5" fontId="15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7" fontId="0" fillId="0" borderId="0" xfId="0" applyNumberFormat="1" applyAlignment="1" applyProtection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5" fontId="8" fillId="0" borderId="0" xfId="0" applyNumberFormat="1" applyFont="1" applyAlignment="1" applyProtection="1">
      <alignment/>
      <protection/>
    </xf>
    <xf numFmtId="5" fontId="7" fillId="0" borderId="0" xfId="0" applyNumberFormat="1" applyFont="1" applyAlignment="1">
      <alignment/>
    </xf>
    <xf numFmtId="5" fontId="7" fillId="0" borderId="0" xfId="0" applyNumberFormat="1" applyFont="1" applyAlignment="1" applyProtection="1">
      <alignment horizontal="right"/>
      <protection/>
    </xf>
    <xf numFmtId="5" fontId="8" fillId="0" borderId="0" xfId="0" applyNumberFormat="1" applyFont="1" applyAlignment="1" applyProtection="1" quotePrefix="1">
      <alignment horizontal="right"/>
      <protection/>
    </xf>
    <xf numFmtId="5" fontId="9" fillId="0" borderId="0" xfId="0" applyNumberFormat="1" applyFont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/>
    </xf>
    <xf numFmtId="5" fontId="15" fillId="0" borderId="0" xfId="0" applyNumberFormat="1" applyFon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7" fontId="0" fillId="0" borderId="0" xfId="0" applyNumberFormat="1" applyBorder="1" applyAlignment="1" applyProtection="1">
      <alignment horizontal="right"/>
      <protection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5" fontId="0" fillId="0" borderId="0" xfId="0" applyNumberFormat="1" applyAlignment="1" applyProtection="1" quotePrefix="1">
      <alignment/>
      <protection/>
    </xf>
    <xf numFmtId="0" fontId="0" fillId="0" borderId="10" xfId="0" applyBorder="1" applyAlignment="1">
      <alignment/>
    </xf>
    <xf numFmtId="5" fontId="0" fillId="0" borderId="10" xfId="0" applyNumberForma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90</xdr:row>
      <xdr:rowOff>0</xdr:rowOff>
    </xdr:from>
    <xdr:to>
      <xdr:col>34</xdr:col>
      <xdr:colOff>419100</xdr:colOff>
      <xdr:row>90</xdr:row>
      <xdr:rowOff>0</xdr:rowOff>
    </xdr:to>
    <xdr:sp>
      <xdr:nvSpPr>
        <xdr:cNvPr id="1" name="Line 3"/>
        <xdr:cNvSpPr>
          <a:spLocks/>
        </xdr:cNvSpPr>
      </xdr:nvSpPr>
      <xdr:spPr>
        <a:xfrm>
          <a:off x="26717625" y="174117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33</xdr:col>
      <xdr:colOff>57150</xdr:colOff>
      <xdr:row>76</xdr:row>
      <xdr:rowOff>114300</xdr:rowOff>
    </xdr:from>
    <xdr:to>
      <xdr:col>33</xdr:col>
      <xdr:colOff>438150</xdr:colOff>
      <xdr:row>89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34337625" y="14859000"/>
          <a:ext cx="381000" cy="2514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192"/>
  <sheetViews>
    <sheetView tabSelected="1" defaultGridColor="0" zoomScale="50" zoomScaleNormal="50" zoomScalePageLayoutView="0" colorId="22" workbookViewId="0" topLeftCell="A1">
      <selection activeCell="A1" sqref="A1"/>
    </sheetView>
  </sheetViews>
  <sheetFormatPr defaultColWidth="12.6640625" defaultRowHeight="15"/>
  <cols>
    <col min="1" max="1" width="17.77734375" style="0" customWidth="1"/>
    <col min="2" max="2" width="10.4453125" style="1" customWidth="1"/>
    <col min="3" max="3" width="10.21484375" style="1" customWidth="1"/>
    <col min="4" max="4" width="12.6640625" style="1" customWidth="1"/>
    <col min="5" max="5" width="10.6640625" style="1" bestFit="1" customWidth="1"/>
    <col min="6" max="7" width="12.6640625" style="1" customWidth="1"/>
    <col min="8" max="8" width="10.3359375" style="1" bestFit="1" customWidth="1"/>
    <col min="9" max="9" width="10.99609375" style="1" bestFit="1" customWidth="1"/>
    <col min="10" max="11" width="12.6640625" style="1" customWidth="1"/>
    <col min="12" max="12" width="10.99609375" style="1" bestFit="1" customWidth="1"/>
    <col min="13" max="13" width="11.77734375" style="0" customWidth="1"/>
    <col min="14" max="14" width="11.99609375" style="0" customWidth="1"/>
    <col min="15" max="15" width="13.88671875" style="0" customWidth="1"/>
    <col min="16" max="16" width="11.21484375" style="0" customWidth="1"/>
    <col min="17" max="19" width="11.6640625" style="0" customWidth="1"/>
    <col min="20" max="20" width="12.6640625" style="0" customWidth="1"/>
    <col min="21" max="22" width="10.77734375" style="2" customWidth="1"/>
    <col min="23" max="23" width="12.6640625" style="0" customWidth="1"/>
    <col min="24" max="24" width="10.3359375" style="0" customWidth="1"/>
  </cols>
  <sheetData>
    <row r="1" spans="1:41" ht="22.5">
      <c r="A1" s="44" t="s">
        <v>106</v>
      </c>
      <c r="AN1" s="2"/>
      <c r="AO1" s="2"/>
    </row>
    <row r="2" spans="12:41" ht="18">
      <c r="L2" s="3"/>
      <c r="M2" s="4"/>
      <c r="S2" s="5"/>
      <c r="AN2" s="2"/>
      <c r="AO2" s="2"/>
    </row>
    <row r="3" spans="5:41" ht="15">
      <c r="E3" s="6"/>
      <c r="G3" s="7"/>
      <c r="I3" s="8"/>
      <c r="L3" s="6"/>
      <c r="M3" s="9"/>
      <c r="AM3" s="2"/>
      <c r="AN3" s="2"/>
      <c r="AO3" s="2"/>
    </row>
    <row r="4" spans="1:41" ht="18">
      <c r="A4" s="10"/>
      <c r="B4" s="11"/>
      <c r="C4" s="11"/>
      <c r="D4" s="11"/>
      <c r="E4" s="12"/>
      <c r="F4" s="11"/>
      <c r="G4" s="13"/>
      <c r="H4" s="11"/>
      <c r="I4" s="14"/>
      <c r="J4" s="11"/>
      <c r="K4" s="11"/>
      <c r="L4" s="15"/>
      <c r="M4" s="16"/>
      <c r="N4" s="10"/>
      <c r="O4" s="17"/>
      <c r="P4" s="10"/>
      <c r="Q4" s="18"/>
      <c r="R4" s="19"/>
      <c r="S4" s="5"/>
      <c r="AM4" s="2"/>
      <c r="AN4" s="2"/>
      <c r="AO4" s="2"/>
    </row>
    <row r="5" spans="1:41" ht="15">
      <c r="A5" t="s">
        <v>0</v>
      </c>
      <c r="C5" s="20">
        <v>0.01</v>
      </c>
      <c r="E5" s="1" t="s">
        <v>1</v>
      </c>
      <c r="G5" s="20">
        <v>0.8</v>
      </c>
      <c r="I5" s="21" t="s">
        <v>2</v>
      </c>
      <c r="J5" s="1">
        <v>750000</v>
      </c>
      <c r="T5" s="22"/>
      <c r="AM5" s="2"/>
      <c r="AN5" s="2"/>
      <c r="AO5" s="2"/>
    </row>
    <row r="6" spans="1:41" ht="15">
      <c r="A6" t="s">
        <v>3</v>
      </c>
      <c r="C6" s="20">
        <v>0.06</v>
      </c>
      <c r="E6" s="1" t="s">
        <v>4</v>
      </c>
      <c r="G6" s="23">
        <v>27.5</v>
      </c>
      <c r="H6" s="1" t="s">
        <v>5</v>
      </c>
      <c r="I6" s="21" t="s">
        <v>6</v>
      </c>
      <c r="J6" s="20">
        <v>0.055</v>
      </c>
      <c r="AL6" s="24"/>
      <c r="AM6" s="2"/>
      <c r="AN6" s="2"/>
      <c r="AO6" s="2"/>
    </row>
    <row r="7" spans="1:41" ht="15">
      <c r="A7" t="s">
        <v>7</v>
      </c>
      <c r="C7" s="20">
        <v>0.35</v>
      </c>
      <c r="E7" s="1" t="s">
        <v>8</v>
      </c>
      <c r="G7" s="20">
        <v>0.15</v>
      </c>
      <c r="I7" s="21" t="s">
        <v>9</v>
      </c>
      <c r="J7" s="1">
        <v>2000</v>
      </c>
      <c r="T7" s="25"/>
      <c r="U7" s="26"/>
      <c r="AL7" s="24"/>
      <c r="AM7" s="2"/>
      <c r="AN7" s="2"/>
      <c r="AO7" s="2"/>
    </row>
    <row r="8" spans="5:41" ht="15">
      <c r="E8" s="1" t="s">
        <v>10</v>
      </c>
      <c r="G8" s="20">
        <v>0.25</v>
      </c>
      <c r="AL8" s="24"/>
      <c r="AM8" s="2"/>
      <c r="AN8" s="2"/>
      <c r="AO8" s="2"/>
    </row>
    <row r="9" spans="2:41" ht="15">
      <c r="B9" s="27" t="s">
        <v>11</v>
      </c>
      <c r="C9" s="27" t="s">
        <v>12</v>
      </c>
      <c r="D9" s="27" t="s">
        <v>13</v>
      </c>
      <c r="E9" s="27" t="s">
        <v>14</v>
      </c>
      <c r="F9" s="27" t="s">
        <v>15</v>
      </c>
      <c r="G9" s="27" t="s">
        <v>16</v>
      </c>
      <c r="H9" s="27" t="s">
        <v>17</v>
      </c>
      <c r="I9" s="27" t="s">
        <v>18</v>
      </c>
      <c r="J9" s="27" t="s">
        <v>19</v>
      </c>
      <c r="K9" s="27" t="s">
        <v>20</v>
      </c>
      <c r="L9" s="27" t="s">
        <v>21</v>
      </c>
      <c r="M9" s="27" t="s">
        <v>22</v>
      </c>
      <c r="N9" s="28" t="s">
        <v>23</v>
      </c>
      <c r="T9" s="29"/>
      <c r="AL9" s="24"/>
      <c r="AM9" s="2"/>
      <c r="AN9" s="2"/>
      <c r="AO9" s="2"/>
    </row>
    <row r="10" spans="6:41" ht="15">
      <c r="F10" s="21" t="s">
        <v>24</v>
      </c>
      <c r="H10" s="21" t="s">
        <v>25</v>
      </c>
      <c r="J10" s="21" t="s">
        <v>26</v>
      </c>
      <c r="L10" s="21" t="s">
        <v>27</v>
      </c>
      <c r="M10" s="21" t="s">
        <v>28</v>
      </c>
      <c r="N10" s="30" t="s">
        <v>29</v>
      </c>
      <c r="AL10" s="24"/>
      <c r="AM10" s="2"/>
      <c r="AN10" s="2"/>
      <c r="AO10" s="2"/>
    </row>
    <row r="11" spans="1:41" ht="15">
      <c r="A11" s="31" t="s">
        <v>30</v>
      </c>
      <c r="B11" s="21" t="s">
        <v>31</v>
      </c>
      <c r="C11" s="21" t="s">
        <v>32</v>
      </c>
      <c r="D11" s="21" t="s">
        <v>33</v>
      </c>
      <c r="E11" s="21" t="s">
        <v>34</v>
      </c>
      <c r="F11" s="21" t="s">
        <v>35</v>
      </c>
      <c r="G11" s="21" t="s">
        <v>36</v>
      </c>
      <c r="H11" s="21" t="s">
        <v>37</v>
      </c>
      <c r="I11" s="21" t="s">
        <v>38</v>
      </c>
      <c r="J11" s="21" t="s">
        <v>39</v>
      </c>
      <c r="K11" s="21" t="s">
        <v>40</v>
      </c>
      <c r="L11" s="21" t="s">
        <v>41</v>
      </c>
      <c r="M11" s="21" t="s">
        <v>42</v>
      </c>
      <c r="N11" s="21" t="s">
        <v>43</v>
      </c>
      <c r="P11" s="32"/>
      <c r="Q11" s="32"/>
      <c r="R11" s="32"/>
      <c r="S11" s="32"/>
      <c r="U11" s="26"/>
      <c r="AL11" s="24"/>
      <c r="AM11" s="2"/>
      <c r="AN11" s="2"/>
      <c r="AO11" s="2"/>
    </row>
    <row r="12" spans="1:41" ht="15">
      <c r="A12" s="33">
        <v>0</v>
      </c>
      <c r="B12" s="34">
        <v>1000000</v>
      </c>
      <c r="E12" s="34">
        <f>-B12</f>
        <v>-1000000</v>
      </c>
      <c r="H12" s="34">
        <f aca="true" t="shared" si="0" ref="H12:H22">E12-F12+G12</f>
        <v>-1000000</v>
      </c>
      <c r="I12" s="1">
        <f>J5</f>
        <v>750000</v>
      </c>
      <c r="J12" s="34">
        <f>-J5</f>
        <v>-750000</v>
      </c>
      <c r="L12" s="34">
        <f aca="true" t="shared" si="1" ref="L12:L22">E12-J12</f>
        <v>-250000</v>
      </c>
      <c r="M12" s="1">
        <f aca="true" t="shared" si="2" ref="M12:M22">H12-J12+K12</f>
        <v>-250000</v>
      </c>
      <c r="N12" s="35">
        <f aca="true" t="shared" si="3" ref="N12:N22">J12-K12</f>
        <v>-750000</v>
      </c>
      <c r="O12" s="35"/>
      <c r="P12" s="35"/>
      <c r="Q12" s="35"/>
      <c r="R12" s="35"/>
      <c r="S12" s="35"/>
      <c r="AL12" s="24"/>
      <c r="AM12" s="2"/>
      <c r="AN12" s="2"/>
      <c r="AO12" s="2"/>
    </row>
    <row r="13" spans="1:41" ht="15">
      <c r="A13" s="33">
        <f aca="true" t="shared" si="4" ref="A13:A22">1+A12</f>
        <v>1</v>
      </c>
      <c r="B13" s="34">
        <f aca="true" t="shared" si="5" ref="B13:B22">(1+C$5)*B12</f>
        <v>1010000</v>
      </c>
      <c r="C13" s="1">
        <f aca="true" t="shared" si="6" ref="C13:C22">C$6*B12</f>
        <v>60000</v>
      </c>
      <c r="D13" s="1">
        <v>0</v>
      </c>
      <c r="E13" s="34">
        <f aca="true" t="shared" si="7" ref="E13:E21">C13-D13</f>
        <v>60000</v>
      </c>
      <c r="F13" s="1">
        <f aca="true" t="shared" si="8" ref="F13:F21">C$7*C13</f>
        <v>21000</v>
      </c>
      <c r="G13" s="1">
        <f>$B$12*$C$7*$G$5/$G$6</f>
        <v>10181.818181818182</v>
      </c>
      <c r="H13" s="34">
        <f t="shared" si="0"/>
        <v>49181.818181818184</v>
      </c>
      <c r="I13" s="1">
        <f aca="true" t="shared" si="9" ref="I13:I22">I12-$J$7</f>
        <v>748000</v>
      </c>
      <c r="J13" s="1">
        <f aca="true" t="shared" si="10" ref="J13:J21">$J$6*I12+$J$7</f>
        <v>43250</v>
      </c>
      <c r="K13" s="1">
        <f aca="true" t="shared" si="11" ref="K13:K22">C$7*I12*J$6</f>
        <v>14437.5</v>
      </c>
      <c r="L13" s="1">
        <f t="shared" si="1"/>
        <v>16750</v>
      </c>
      <c r="M13" s="1">
        <f t="shared" si="2"/>
        <v>20369.318181818184</v>
      </c>
      <c r="N13" s="35">
        <f t="shared" si="3"/>
        <v>28812.5</v>
      </c>
      <c r="O13" s="35"/>
      <c r="P13" s="35"/>
      <c r="Q13" s="36"/>
      <c r="R13" s="37"/>
      <c r="S13" s="37"/>
      <c r="U13" s="26"/>
      <c r="AL13" s="24"/>
      <c r="AM13" s="2"/>
      <c r="AN13" s="2"/>
      <c r="AO13" s="2"/>
    </row>
    <row r="14" spans="1:41" ht="15">
      <c r="A14" s="33">
        <f t="shared" si="4"/>
        <v>2</v>
      </c>
      <c r="B14" s="34">
        <f t="shared" si="5"/>
        <v>1020100</v>
      </c>
      <c r="C14" s="1">
        <f t="shared" si="6"/>
        <v>60600</v>
      </c>
      <c r="D14" s="1">
        <v>0</v>
      </c>
      <c r="E14" s="34">
        <f t="shared" si="7"/>
        <v>60600</v>
      </c>
      <c r="F14" s="1">
        <f t="shared" si="8"/>
        <v>21210</v>
      </c>
      <c r="G14" s="1">
        <f aca="true" t="shared" si="12" ref="G14:G21">B$12*C$7*G$5/G$6</f>
        <v>10181.818181818182</v>
      </c>
      <c r="H14" s="34">
        <f t="shared" si="0"/>
        <v>49571.818181818184</v>
      </c>
      <c r="I14" s="1">
        <f t="shared" si="9"/>
        <v>746000</v>
      </c>
      <c r="J14" s="1">
        <f t="shared" si="10"/>
        <v>43140</v>
      </c>
      <c r="K14" s="1">
        <f t="shared" si="11"/>
        <v>14398.999999999998</v>
      </c>
      <c r="L14" s="1">
        <f t="shared" si="1"/>
        <v>17460</v>
      </c>
      <c r="M14" s="1">
        <f t="shared" si="2"/>
        <v>20830.818181818184</v>
      </c>
      <c r="N14" s="35">
        <f t="shared" si="3"/>
        <v>28741</v>
      </c>
      <c r="O14" s="35"/>
      <c r="P14" s="35"/>
      <c r="Q14" s="36"/>
      <c r="R14" s="37"/>
      <c r="S14" s="37"/>
      <c r="AL14" s="24"/>
      <c r="AM14" s="2"/>
      <c r="AN14" s="2"/>
      <c r="AO14" s="2"/>
    </row>
    <row r="15" spans="1:41" ht="15">
      <c r="A15" s="33">
        <f t="shared" si="4"/>
        <v>3</v>
      </c>
      <c r="B15" s="34">
        <f t="shared" si="5"/>
        <v>1030301</v>
      </c>
      <c r="C15" s="1">
        <f t="shared" si="6"/>
        <v>61206</v>
      </c>
      <c r="D15" s="1">
        <v>50000</v>
      </c>
      <c r="E15" s="34">
        <f t="shared" si="7"/>
        <v>11206</v>
      </c>
      <c r="F15" s="1">
        <f t="shared" si="8"/>
        <v>21422.1</v>
      </c>
      <c r="G15" s="1">
        <f t="shared" si="12"/>
        <v>10181.818181818182</v>
      </c>
      <c r="H15" s="34">
        <f t="shared" si="0"/>
        <v>-34.28181818181656</v>
      </c>
      <c r="I15" s="1">
        <f t="shared" si="9"/>
        <v>744000</v>
      </c>
      <c r="J15" s="1">
        <f t="shared" si="10"/>
        <v>43030</v>
      </c>
      <c r="K15" s="1">
        <f t="shared" si="11"/>
        <v>14360.499999999998</v>
      </c>
      <c r="L15" s="1">
        <f t="shared" si="1"/>
        <v>-31824</v>
      </c>
      <c r="M15" s="1">
        <f t="shared" si="2"/>
        <v>-28703.781818181815</v>
      </c>
      <c r="N15" s="35">
        <f t="shared" si="3"/>
        <v>28669.5</v>
      </c>
      <c r="O15" s="35"/>
      <c r="P15" s="35"/>
      <c r="Q15" s="36"/>
      <c r="R15" s="37"/>
      <c r="S15" s="37"/>
      <c r="AL15" s="24"/>
      <c r="AM15" s="2"/>
      <c r="AN15" s="2"/>
      <c r="AO15" s="2"/>
    </row>
    <row r="16" spans="1:41" ht="15">
      <c r="A16" s="33">
        <f t="shared" si="4"/>
        <v>4</v>
      </c>
      <c r="B16" s="34">
        <f t="shared" si="5"/>
        <v>1040604.01</v>
      </c>
      <c r="C16" s="1">
        <f t="shared" si="6"/>
        <v>61818.06</v>
      </c>
      <c r="D16" s="1">
        <v>0</v>
      </c>
      <c r="E16" s="34">
        <f t="shared" si="7"/>
        <v>61818.06</v>
      </c>
      <c r="F16" s="1">
        <f t="shared" si="8"/>
        <v>21636.320999999996</v>
      </c>
      <c r="G16" s="1">
        <f t="shared" si="12"/>
        <v>10181.818181818182</v>
      </c>
      <c r="H16" s="34">
        <f t="shared" si="0"/>
        <v>50363.557181818185</v>
      </c>
      <c r="I16" s="1">
        <f t="shared" si="9"/>
        <v>742000</v>
      </c>
      <c r="J16" s="1">
        <f t="shared" si="10"/>
        <v>42920</v>
      </c>
      <c r="K16" s="1">
        <f t="shared" si="11"/>
        <v>14321.999999999998</v>
      </c>
      <c r="L16" s="1">
        <f t="shared" si="1"/>
        <v>18898.059999999998</v>
      </c>
      <c r="M16" s="1">
        <f t="shared" si="2"/>
        <v>21765.557181818185</v>
      </c>
      <c r="N16" s="35">
        <f t="shared" si="3"/>
        <v>28598</v>
      </c>
      <c r="O16" s="35"/>
      <c r="P16" s="35"/>
      <c r="Q16" s="36"/>
      <c r="R16" s="37"/>
      <c r="S16" s="37"/>
      <c r="AL16" s="24"/>
      <c r="AM16" s="2"/>
      <c r="AN16" s="2"/>
      <c r="AO16" s="2"/>
    </row>
    <row r="17" spans="1:41" ht="15">
      <c r="A17" s="33">
        <f t="shared" si="4"/>
        <v>5</v>
      </c>
      <c r="B17" s="34">
        <f t="shared" si="5"/>
        <v>1051010.0501</v>
      </c>
      <c r="C17" s="1">
        <f t="shared" si="6"/>
        <v>62436.2406</v>
      </c>
      <c r="D17" s="1">
        <v>0</v>
      </c>
      <c r="E17" s="34">
        <f t="shared" si="7"/>
        <v>62436.2406</v>
      </c>
      <c r="F17" s="1">
        <f t="shared" si="8"/>
        <v>21852.68421</v>
      </c>
      <c r="G17" s="1">
        <f t="shared" si="12"/>
        <v>10181.818181818182</v>
      </c>
      <c r="H17" s="34">
        <f t="shared" si="0"/>
        <v>50765.37457181818</v>
      </c>
      <c r="I17" s="1">
        <f t="shared" si="9"/>
        <v>740000</v>
      </c>
      <c r="J17" s="1">
        <f t="shared" si="10"/>
        <v>42810</v>
      </c>
      <c r="K17" s="1">
        <f t="shared" si="11"/>
        <v>14283.499999999998</v>
      </c>
      <c r="L17" s="1">
        <f t="shared" si="1"/>
        <v>19626.240599999997</v>
      </c>
      <c r="M17" s="1">
        <f t="shared" si="2"/>
        <v>22238.87457181818</v>
      </c>
      <c r="N17" s="35">
        <f t="shared" si="3"/>
        <v>28526.5</v>
      </c>
      <c r="O17" s="35"/>
      <c r="P17" s="35"/>
      <c r="Q17" s="36"/>
      <c r="R17" s="37"/>
      <c r="S17" s="37"/>
      <c r="AL17" s="24"/>
      <c r="AM17" s="2"/>
      <c r="AN17" s="2"/>
      <c r="AO17" s="2"/>
    </row>
    <row r="18" spans="1:41" ht="15">
      <c r="A18" s="33">
        <f t="shared" si="4"/>
        <v>6</v>
      </c>
      <c r="B18" s="34">
        <f t="shared" si="5"/>
        <v>1061520.150601</v>
      </c>
      <c r="C18" s="1">
        <f t="shared" si="6"/>
        <v>63060.603006000005</v>
      </c>
      <c r="D18" s="1">
        <v>0</v>
      </c>
      <c r="E18" s="34">
        <f t="shared" si="7"/>
        <v>63060.603006000005</v>
      </c>
      <c r="F18" s="1">
        <f t="shared" si="8"/>
        <v>22071.2110521</v>
      </c>
      <c r="G18" s="1">
        <f t="shared" si="12"/>
        <v>10181.818181818182</v>
      </c>
      <c r="H18" s="34">
        <f t="shared" si="0"/>
        <v>51171.21013571819</v>
      </c>
      <c r="I18" s="1">
        <f t="shared" si="9"/>
        <v>738000</v>
      </c>
      <c r="J18" s="1">
        <f t="shared" si="10"/>
        <v>42700</v>
      </c>
      <c r="K18" s="1">
        <f t="shared" si="11"/>
        <v>14244.999999999998</v>
      </c>
      <c r="L18" s="1">
        <f t="shared" si="1"/>
        <v>20360.603006000005</v>
      </c>
      <c r="M18" s="1">
        <f t="shared" si="2"/>
        <v>22716.21013571819</v>
      </c>
      <c r="N18" s="35">
        <f t="shared" si="3"/>
        <v>28455</v>
      </c>
      <c r="O18" s="35"/>
      <c r="P18" s="35"/>
      <c r="Q18" s="36"/>
      <c r="R18" s="37"/>
      <c r="S18" s="37"/>
      <c r="W18" s="2"/>
      <c r="Y18" s="2"/>
      <c r="AA18" s="2"/>
      <c r="AL18" s="24"/>
      <c r="AM18" s="2"/>
      <c r="AN18" s="2"/>
      <c r="AO18" s="2"/>
    </row>
    <row r="19" spans="1:41" ht="15">
      <c r="A19" s="33">
        <f t="shared" si="4"/>
        <v>7</v>
      </c>
      <c r="B19" s="34">
        <f t="shared" si="5"/>
        <v>1072135.35210701</v>
      </c>
      <c r="C19" s="1">
        <f t="shared" si="6"/>
        <v>63691.20903606</v>
      </c>
      <c r="D19" s="1">
        <v>0</v>
      </c>
      <c r="E19" s="34">
        <f t="shared" si="7"/>
        <v>63691.20903606</v>
      </c>
      <c r="F19" s="1">
        <f t="shared" si="8"/>
        <v>22291.923162621</v>
      </c>
      <c r="G19" s="1">
        <f t="shared" si="12"/>
        <v>10181.818181818182</v>
      </c>
      <c r="H19" s="34">
        <f t="shared" si="0"/>
        <v>51581.10405525719</v>
      </c>
      <c r="I19" s="1">
        <f t="shared" si="9"/>
        <v>736000</v>
      </c>
      <c r="J19" s="1">
        <f t="shared" si="10"/>
        <v>42590</v>
      </c>
      <c r="K19" s="1">
        <f t="shared" si="11"/>
        <v>14206.499999999998</v>
      </c>
      <c r="L19" s="1">
        <f t="shared" si="1"/>
        <v>21101.209036059998</v>
      </c>
      <c r="M19" s="1">
        <f t="shared" si="2"/>
        <v>23197.604055257187</v>
      </c>
      <c r="N19" s="35">
        <f t="shared" si="3"/>
        <v>28383.5</v>
      </c>
      <c r="O19" s="35"/>
      <c r="P19" s="35"/>
      <c r="Q19" s="36"/>
      <c r="R19" s="37"/>
      <c r="S19" s="37"/>
      <c r="T19" s="24"/>
      <c r="W19" s="24"/>
      <c r="X19" s="2"/>
      <c r="Y19" s="2"/>
      <c r="AB19" s="2"/>
      <c r="AL19" s="24"/>
      <c r="AM19" s="2"/>
      <c r="AN19" s="2"/>
      <c r="AO19" s="2"/>
    </row>
    <row r="20" spans="1:41" ht="15">
      <c r="A20" s="33">
        <f t="shared" si="4"/>
        <v>8</v>
      </c>
      <c r="B20" s="34">
        <f t="shared" si="5"/>
        <v>1082856.7056280803</v>
      </c>
      <c r="C20" s="1">
        <f t="shared" si="6"/>
        <v>64328.1211264206</v>
      </c>
      <c r="D20" s="1">
        <v>50000</v>
      </c>
      <c r="E20" s="34">
        <f t="shared" si="7"/>
        <v>14328.1211264206</v>
      </c>
      <c r="F20" s="1">
        <f t="shared" si="8"/>
        <v>22514.842394247207</v>
      </c>
      <c r="G20" s="1">
        <f t="shared" si="12"/>
        <v>10181.818181818182</v>
      </c>
      <c r="H20" s="34">
        <f t="shared" si="0"/>
        <v>1995.0969139915742</v>
      </c>
      <c r="I20" s="1">
        <f t="shared" si="9"/>
        <v>734000</v>
      </c>
      <c r="J20" s="1">
        <f t="shared" si="10"/>
        <v>42480</v>
      </c>
      <c r="K20" s="1">
        <f t="shared" si="11"/>
        <v>14167.999999999998</v>
      </c>
      <c r="L20" s="1">
        <f t="shared" si="1"/>
        <v>-28151.8788735794</v>
      </c>
      <c r="M20" s="1">
        <f t="shared" si="2"/>
        <v>-26316.903086008424</v>
      </c>
      <c r="N20" s="35">
        <f t="shared" si="3"/>
        <v>28312</v>
      </c>
      <c r="O20" s="35"/>
      <c r="P20" s="35"/>
      <c r="Q20" s="36"/>
      <c r="R20" s="37"/>
      <c r="S20" s="37"/>
      <c r="T20" s="24"/>
      <c r="W20" s="24"/>
      <c r="X20" s="2"/>
      <c r="Y20" s="2"/>
      <c r="AB20" s="2"/>
      <c r="AL20" s="24"/>
      <c r="AM20" s="2"/>
      <c r="AN20" s="2"/>
      <c r="AO20" s="2"/>
    </row>
    <row r="21" spans="1:41" ht="15">
      <c r="A21" s="33">
        <f t="shared" si="4"/>
        <v>9</v>
      </c>
      <c r="B21" s="34">
        <f t="shared" si="5"/>
        <v>1093685.272684361</v>
      </c>
      <c r="C21" s="1">
        <f t="shared" si="6"/>
        <v>64971.40233768481</v>
      </c>
      <c r="D21" s="1">
        <v>0</v>
      </c>
      <c r="E21" s="34">
        <f t="shared" si="7"/>
        <v>64971.40233768481</v>
      </c>
      <c r="F21" s="1">
        <f t="shared" si="8"/>
        <v>22739.990818189683</v>
      </c>
      <c r="G21" s="1">
        <f t="shared" si="12"/>
        <v>10181.818181818182</v>
      </c>
      <c r="H21" s="34">
        <f t="shared" si="0"/>
        <v>52413.229701313314</v>
      </c>
      <c r="I21" s="1">
        <f t="shared" si="9"/>
        <v>732000</v>
      </c>
      <c r="J21" s="1">
        <f t="shared" si="10"/>
        <v>42370</v>
      </c>
      <c r="K21" s="1">
        <f t="shared" si="11"/>
        <v>14129.499999999998</v>
      </c>
      <c r="L21" s="1">
        <f t="shared" si="1"/>
        <v>22601.402337684813</v>
      </c>
      <c r="M21" s="1">
        <f t="shared" si="2"/>
        <v>24172.729701313314</v>
      </c>
      <c r="N21" s="35">
        <f t="shared" si="3"/>
        <v>28240.5</v>
      </c>
      <c r="O21" s="35"/>
      <c r="P21" s="35"/>
      <c r="Q21" s="36"/>
      <c r="R21" s="37"/>
      <c r="S21" s="37"/>
      <c r="T21" s="24"/>
      <c r="W21" s="24"/>
      <c r="X21" s="2"/>
      <c r="Y21" s="2"/>
      <c r="AL21" s="24"/>
      <c r="AM21" s="2"/>
      <c r="AN21" s="2"/>
      <c r="AO21" s="2"/>
    </row>
    <row r="22" spans="1:41" ht="15">
      <c r="A22" s="33">
        <f t="shared" si="4"/>
        <v>10</v>
      </c>
      <c r="B22" s="34">
        <f t="shared" si="5"/>
        <v>1104622.1254112048</v>
      </c>
      <c r="C22" s="1">
        <f t="shared" si="6"/>
        <v>65621.11636106166</v>
      </c>
      <c r="D22" s="1">
        <v>0</v>
      </c>
      <c r="E22" s="34">
        <f>B22+C22-D22</f>
        <v>1170243.2417722663</v>
      </c>
      <c r="F22" s="1">
        <f>C$7*C22+G$7*(B22-(B12+SUM(D13:D22)))</f>
        <v>23660.709538052295</v>
      </c>
      <c r="G22" s="1">
        <f>B$12*($C$7*$G$5/$G$6-10*$G$8*$G$5/$G$6)</f>
        <v>-62545.454545454544</v>
      </c>
      <c r="H22" s="34">
        <f t="shared" si="0"/>
        <v>1084037.0776887594</v>
      </c>
      <c r="I22" s="1">
        <f t="shared" si="9"/>
        <v>730000</v>
      </c>
      <c r="J22" s="1">
        <f>$J$6*I21+I21</f>
        <v>772260</v>
      </c>
      <c r="K22" s="1">
        <f t="shared" si="11"/>
        <v>14090.999999999998</v>
      </c>
      <c r="L22" s="1">
        <f t="shared" si="1"/>
        <v>397983.24177226634</v>
      </c>
      <c r="M22" s="1">
        <f t="shared" si="2"/>
        <v>325868.0776887594</v>
      </c>
      <c r="N22" s="35">
        <f t="shared" si="3"/>
        <v>758169</v>
      </c>
      <c r="O22" s="35"/>
      <c r="P22" s="35"/>
      <c r="Q22" s="36"/>
      <c r="R22" s="37"/>
      <c r="S22" s="37"/>
      <c r="T22" s="24"/>
      <c r="W22" s="24"/>
      <c r="X22" s="2"/>
      <c r="Y22" s="2"/>
      <c r="AL22" s="24"/>
      <c r="AM22" s="2"/>
      <c r="AN22" s="2"/>
      <c r="AO22" s="2"/>
    </row>
    <row r="23" spans="13:41" ht="15">
      <c r="M23" s="1"/>
      <c r="AL23" s="24"/>
      <c r="AM23" s="2"/>
      <c r="AN23" s="2"/>
      <c r="AO23" s="2"/>
    </row>
    <row r="24" spans="1:41" ht="15">
      <c r="A24" s="20" t="s">
        <v>45</v>
      </c>
      <c r="D24" s="20"/>
      <c r="E24" s="20">
        <f>IRR(E12:E22,0.1)</f>
        <v>0.06042883175756719</v>
      </c>
      <c r="F24" s="20"/>
      <c r="G24" s="20"/>
      <c r="H24" s="20">
        <f>IRR(H12:H22,0.1)</f>
        <v>0.04341856288063206</v>
      </c>
      <c r="J24" s="20">
        <f>IRR(J12:J22,0.1)</f>
        <v>0.05499999999999994</v>
      </c>
      <c r="K24" s="20"/>
      <c r="L24" s="20">
        <f>IRR(L12:L22,0.1)</f>
        <v>0.07397085670193504</v>
      </c>
      <c r="M24" s="20">
        <f>IRR(M12:M22,0.1)</f>
        <v>0.06437605624343412</v>
      </c>
      <c r="N24" s="20">
        <f>IRR(N12:N22,0.1)</f>
        <v>0.03574999999999995</v>
      </c>
      <c r="O24" s="20"/>
      <c r="P24" s="20"/>
      <c r="Q24" s="20"/>
      <c r="R24" s="20"/>
      <c r="S24" s="20"/>
      <c r="V24" s="38"/>
      <c r="AL24" s="24"/>
      <c r="AM24" s="2"/>
      <c r="AN24" s="2"/>
      <c r="AO24" s="2"/>
    </row>
    <row r="25" spans="2:41" ht="15">
      <c r="B25"/>
      <c r="C25"/>
      <c r="D25"/>
      <c r="E25"/>
      <c r="F25"/>
      <c r="G25"/>
      <c r="H25"/>
      <c r="J25"/>
      <c r="K25"/>
      <c r="L25"/>
      <c r="O25" s="2"/>
      <c r="P25" s="2"/>
      <c r="Q25" s="2"/>
      <c r="R25" s="2"/>
      <c r="S25" s="2"/>
      <c r="V25" s="38"/>
      <c r="W25" s="31"/>
      <c r="AN25" s="2"/>
      <c r="AO25" s="2"/>
    </row>
    <row r="26" spans="2:41" ht="15">
      <c r="B26"/>
      <c r="C26"/>
      <c r="D26"/>
      <c r="E26"/>
      <c r="F26"/>
      <c r="G26"/>
      <c r="H26"/>
      <c r="J26"/>
      <c r="K26"/>
      <c r="L26"/>
      <c r="O26" s="2"/>
      <c r="P26" s="2"/>
      <c r="Q26" s="2"/>
      <c r="R26" s="2"/>
      <c r="S26" s="2"/>
      <c r="T26" s="24"/>
      <c r="V26" s="24"/>
      <c r="W26" s="2"/>
      <c r="AN26" s="2"/>
      <c r="AO26" s="2"/>
    </row>
    <row r="27" spans="1:41" ht="15">
      <c r="A27" t="s">
        <v>46</v>
      </c>
      <c r="T27" s="24"/>
      <c r="V27" s="24"/>
      <c r="W27" s="2"/>
      <c r="AN27" s="2"/>
      <c r="AO27" s="2"/>
    </row>
    <row r="28" spans="2:41" ht="15">
      <c r="B28" s="21" t="s">
        <v>47</v>
      </c>
      <c r="K28" s="21" t="s">
        <v>48</v>
      </c>
      <c r="L28" s="21" t="s">
        <v>49</v>
      </c>
      <c r="M28" s="31" t="s">
        <v>50</v>
      </c>
      <c r="N28" s="31" t="s">
        <v>51</v>
      </c>
      <c r="T28" s="24"/>
      <c r="V28" s="24"/>
      <c r="W28" s="2"/>
      <c r="AN28" s="2"/>
      <c r="AO28" s="2"/>
    </row>
    <row r="29" spans="1:41" ht="15">
      <c r="A29" t="s">
        <v>52</v>
      </c>
      <c r="B29" s="1">
        <v>1</v>
      </c>
      <c r="C29" s="1">
        <v>2</v>
      </c>
      <c r="D29" s="1">
        <v>3</v>
      </c>
      <c r="E29" s="1">
        <v>4</v>
      </c>
      <c r="F29" s="1">
        <v>5</v>
      </c>
      <c r="G29" s="1">
        <v>6</v>
      </c>
      <c r="H29" s="1">
        <v>7</v>
      </c>
      <c r="I29" s="1">
        <v>8</v>
      </c>
      <c r="J29" s="1">
        <v>9</v>
      </c>
      <c r="K29" s="21" t="s">
        <v>53</v>
      </c>
      <c r="L29" s="21" t="s">
        <v>54</v>
      </c>
      <c r="M29" s="31" t="s">
        <v>53</v>
      </c>
      <c r="N29" s="31" t="s">
        <v>53</v>
      </c>
      <c r="T29" s="24"/>
      <c r="V29" s="24"/>
      <c r="W29" s="2"/>
      <c r="AN29" s="2"/>
      <c r="AO29" s="2"/>
    </row>
    <row r="30" spans="1:41" ht="15">
      <c r="A30" t="s">
        <v>55</v>
      </c>
      <c r="T30" s="24"/>
      <c r="V30" s="24"/>
      <c r="W30" s="2"/>
      <c r="AN30" s="2"/>
      <c r="AO30" s="2"/>
    </row>
    <row r="31" spans="1:41" ht="15">
      <c r="A31" s="31" t="s">
        <v>32</v>
      </c>
      <c r="B31" s="1">
        <f>C13</f>
        <v>60000</v>
      </c>
      <c r="C31" s="1">
        <f>C14</f>
        <v>60600</v>
      </c>
      <c r="D31" s="1">
        <f>C15</f>
        <v>61206</v>
      </c>
      <c r="E31" s="1">
        <f>C16</f>
        <v>61818.06</v>
      </c>
      <c r="F31" s="1">
        <f>C17</f>
        <v>62436.2406</v>
      </c>
      <c r="G31" s="1">
        <f>C18</f>
        <v>63060.603006000005</v>
      </c>
      <c r="H31" s="1">
        <f>C19</f>
        <v>63691.20903606</v>
      </c>
      <c r="I31" s="1">
        <f>C20</f>
        <v>64328.1211264206</v>
      </c>
      <c r="J31" s="1">
        <f>C21</f>
        <v>64971.40233768481</v>
      </c>
      <c r="K31" s="1">
        <f>C22</f>
        <v>65621.11636106166</v>
      </c>
      <c r="L31" s="21" t="s">
        <v>56</v>
      </c>
      <c r="M31" s="1">
        <f>B22</f>
        <v>1104622.1254112048</v>
      </c>
      <c r="N31" s="1"/>
      <c r="T31" s="24"/>
      <c r="V31" s="24"/>
      <c r="W31" s="2"/>
      <c r="AN31" s="2"/>
      <c r="AO31" s="2"/>
    </row>
    <row r="32" spans="1:41" ht="15">
      <c r="A32" s="31" t="s">
        <v>57</v>
      </c>
      <c r="B32" s="1">
        <f aca="true" t="shared" si="13" ref="B32:K32">$B$12*$G$5/$G$6</f>
        <v>29090.909090909092</v>
      </c>
      <c r="C32" s="1">
        <f t="shared" si="13"/>
        <v>29090.909090909092</v>
      </c>
      <c r="D32" s="1">
        <f t="shared" si="13"/>
        <v>29090.909090909092</v>
      </c>
      <c r="E32" s="1">
        <f t="shared" si="13"/>
        <v>29090.909090909092</v>
      </c>
      <c r="F32" s="1">
        <f t="shared" si="13"/>
        <v>29090.909090909092</v>
      </c>
      <c r="G32" s="1">
        <f t="shared" si="13"/>
        <v>29090.909090909092</v>
      </c>
      <c r="H32" s="1">
        <f t="shared" si="13"/>
        <v>29090.909090909092</v>
      </c>
      <c r="I32" s="1">
        <f t="shared" si="13"/>
        <v>29090.909090909092</v>
      </c>
      <c r="J32" s="1">
        <f t="shared" si="13"/>
        <v>29090.909090909092</v>
      </c>
      <c r="K32" s="1">
        <f t="shared" si="13"/>
        <v>29090.909090909092</v>
      </c>
      <c r="L32" s="21" t="s">
        <v>58</v>
      </c>
      <c r="M32" s="1">
        <f>B12-SUM(B32:K32)+SUM(B38:K38)</f>
        <v>809090.9090909091</v>
      </c>
      <c r="N32" s="1"/>
      <c r="T32" s="24"/>
      <c r="V32" s="24"/>
      <c r="W32" s="2"/>
      <c r="AN32" s="2"/>
      <c r="AO32" s="2"/>
    </row>
    <row r="33" spans="1:41" ht="15">
      <c r="A33" s="31" t="s">
        <v>59</v>
      </c>
      <c r="B33" s="1">
        <f aca="true" t="shared" si="14" ref="B33:K33">B31-B32</f>
        <v>30909.090909090908</v>
      </c>
      <c r="C33" s="1">
        <f t="shared" si="14"/>
        <v>31509.090909090908</v>
      </c>
      <c r="D33" s="1">
        <f t="shared" si="14"/>
        <v>32115.090909090908</v>
      </c>
      <c r="E33" s="1">
        <f t="shared" si="14"/>
        <v>32727.150909090906</v>
      </c>
      <c r="F33" s="1">
        <f t="shared" si="14"/>
        <v>33345.3315090909</v>
      </c>
      <c r="G33" s="1">
        <f t="shared" si="14"/>
        <v>33969.69391509092</v>
      </c>
      <c r="H33" s="1">
        <f t="shared" si="14"/>
        <v>34600.29994515091</v>
      </c>
      <c r="I33" s="1">
        <f t="shared" si="14"/>
        <v>35237.212035511504</v>
      </c>
      <c r="J33" s="1">
        <f t="shared" si="14"/>
        <v>35880.49324677572</v>
      </c>
      <c r="K33" s="1">
        <f t="shared" si="14"/>
        <v>36530.207270152576</v>
      </c>
      <c r="L33" s="21" t="s">
        <v>60</v>
      </c>
      <c r="M33" s="1">
        <f>M31-M32</f>
        <v>295531.2163202957</v>
      </c>
      <c r="N33" s="1">
        <f>K33+M33</f>
        <v>332061.4235904483</v>
      </c>
      <c r="T33" s="24"/>
      <c r="V33" s="24"/>
      <c r="W33" s="2"/>
      <c r="AN33" s="2"/>
      <c r="AO33" s="2"/>
    </row>
    <row r="34" spans="1:41" ht="15">
      <c r="A34" s="31" t="s">
        <v>61</v>
      </c>
      <c r="B34" s="1">
        <f aca="true" t="shared" si="15" ref="B34:K34">$C$7*B33</f>
        <v>10818.181818181818</v>
      </c>
      <c r="C34" s="1">
        <f t="shared" si="15"/>
        <v>11028.181818181818</v>
      </c>
      <c r="D34" s="1">
        <f t="shared" si="15"/>
        <v>11240.281818181817</v>
      </c>
      <c r="E34" s="1">
        <f t="shared" si="15"/>
        <v>11454.502818181816</v>
      </c>
      <c r="F34" s="1">
        <f t="shared" si="15"/>
        <v>11670.866028181816</v>
      </c>
      <c r="G34" s="1">
        <f t="shared" si="15"/>
        <v>11889.39287028182</v>
      </c>
      <c r="H34" s="1">
        <f t="shared" si="15"/>
        <v>12110.104980802818</v>
      </c>
      <c r="I34" s="1">
        <f t="shared" si="15"/>
        <v>12333.024212429025</v>
      </c>
      <c r="J34" s="1">
        <f t="shared" si="15"/>
        <v>12558.1726363715</v>
      </c>
      <c r="K34" s="1">
        <f t="shared" si="15"/>
        <v>12785.5725445534</v>
      </c>
      <c r="L34" s="21" t="s">
        <v>62</v>
      </c>
      <c r="M34" s="1">
        <f>G7*(M31-(B12+SUM(B38:K38)))+G8*SUM(B32:K32)</f>
        <v>73420.59153895345</v>
      </c>
      <c r="N34" s="1"/>
      <c r="T34" s="24"/>
      <c r="V34" s="24"/>
      <c r="W34" s="2"/>
      <c r="AN34" s="2"/>
      <c r="AO34" s="2"/>
    </row>
    <row r="35" spans="1:43" ht="15">
      <c r="A35" s="31" t="s">
        <v>63</v>
      </c>
      <c r="B35" s="1">
        <f aca="true" t="shared" si="16" ref="B35:K35">B33-B34</f>
        <v>20090.90909090909</v>
      </c>
      <c r="C35" s="1">
        <f t="shared" si="16"/>
        <v>20480.90909090909</v>
      </c>
      <c r="D35" s="1">
        <f t="shared" si="16"/>
        <v>20874.80909090909</v>
      </c>
      <c r="E35" s="1">
        <f t="shared" si="16"/>
        <v>21272.64809090909</v>
      </c>
      <c r="F35" s="1">
        <f t="shared" si="16"/>
        <v>21674.465480909086</v>
      </c>
      <c r="G35" s="1">
        <f t="shared" si="16"/>
        <v>22080.301044809097</v>
      </c>
      <c r="H35" s="1">
        <f t="shared" si="16"/>
        <v>22490.19496434809</v>
      </c>
      <c r="I35" s="1">
        <f t="shared" si="16"/>
        <v>22904.18782308248</v>
      </c>
      <c r="J35" s="1">
        <f t="shared" si="16"/>
        <v>23322.32061040422</v>
      </c>
      <c r="K35" s="1">
        <f t="shared" si="16"/>
        <v>23744.634725599175</v>
      </c>
      <c r="L35" s="21" t="s">
        <v>64</v>
      </c>
      <c r="M35" s="1">
        <f>M33-M34</f>
        <v>222110.62478134225</v>
      </c>
      <c r="N35" s="1">
        <f>K35+M35</f>
        <v>245855.25950694142</v>
      </c>
      <c r="T35" s="24"/>
      <c r="V35" s="24"/>
      <c r="W35" s="2"/>
      <c r="AN35" s="2"/>
      <c r="AO35" s="2"/>
      <c r="AP35" s="2"/>
      <c r="AQ35" s="24"/>
    </row>
    <row r="36" spans="13:43" ht="15">
      <c r="M36" s="1"/>
      <c r="N36" s="1"/>
      <c r="T36" s="24"/>
      <c r="V36" s="24"/>
      <c r="W36" s="2"/>
      <c r="AN36" s="2"/>
      <c r="AO36" s="2"/>
      <c r="AP36" s="2"/>
      <c r="AQ36" s="24"/>
    </row>
    <row r="37" spans="1:44" ht="15">
      <c r="A37" t="s">
        <v>65</v>
      </c>
      <c r="M37" s="1"/>
      <c r="N37" s="1"/>
      <c r="T37" s="24"/>
      <c r="V37" s="24"/>
      <c r="W37" s="2"/>
      <c r="AN37" s="2"/>
      <c r="AO37" s="2"/>
      <c r="AR37" s="28"/>
    </row>
    <row r="38" spans="1:41" ht="15">
      <c r="A38" s="31" t="s">
        <v>66</v>
      </c>
      <c r="B38" s="1">
        <f>D13</f>
        <v>0</v>
      </c>
      <c r="C38" s="1">
        <f>D14</f>
        <v>0</v>
      </c>
      <c r="D38" s="1">
        <f>D15</f>
        <v>50000</v>
      </c>
      <c r="E38" s="1">
        <f>D16</f>
        <v>0</v>
      </c>
      <c r="F38" s="1">
        <f>D17</f>
        <v>0</v>
      </c>
      <c r="G38" s="1">
        <f>D18</f>
        <v>0</v>
      </c>
      <c r="H38" s="1">
        <f>D19</f>
        <v>0</v>
      </c>
      <c r="I38" s="1">
        <f>D20</f>
        <v>50000</v>
      </c>
      <c r="J38" s="1">
        <f>D21</f>
        <v>0</v>
      </c>
      <c r="K38" s="1">
        <f>D22</f>
        <v>0</v>
      </c>
      <c r="M38" s="1"/>
      <c r="N38" s="1"/>
      <c r="T38" s="24"/>
      <c r="V38" s="24"/>
      <c r="W38" s="2"/>
      <c r="AN38" s="2"/>
      <c r="AO38" s="2"/>
    </row>
    <row r="39" spans="1:41" ht="15">
      <c r="A39" s="31" t="s">
        <v>67</v>
      </c>
      <c r="B39" s="1">
        <f aca="true" t="shared" si="17" ref="B39:K39">B32</f>
        <v>29090.909090909092</v>
      </c>
      <c r="C39" s="1">
        <f t="shared" si="17"/>
        <v>29090.909090909092</v>
      </c>
      <c r="D39" s="1">
        <f t="shared" si="17"/>
        <v>29090.909090909092</v>
      </c>
      <c r="E39" s="1">
        <f t="shared" si="17"/>
        <v>29090.909090909092</v>
      </c>
      <c r="F39" s="1">
        <f t="shared" si="17"/>
        <v>29090.909090909092</v>
      </c>
      <c r="G39" s="1">
        <f t="shared" si="17"/>
        <v>29090.909090909092</v>
      </c>
      <c r="H39" s="1">
        <f t="shared" si="17"/>
        <v>29090.909090909092</v>
      </c>
      <c r="I39" s="1">
        <f t="shared" si="17"/>
        <v>29090.909090909092</v>
      </c>
      <c r="J39" s="1">
        <f t="shared" si="17"/>
        <v>29090.909090909092</v>
      </c>
      <c r="K39" s="1">
        <f t="shared" si="17"/>
        <v>29090.909090909092</v>
      </c>
      <c r="L39" s="21" t="s">
        <v>68</v>
      </c>
      <c r="M39" s="1">
        <f>M32</f>
        <v>809090.9090909091</v>
      </c>
      <c r="N39" s="1"/>
      <c r="T39" s="24"/>
      <c r="V39" s="24"/>
      <c r="W39" s="2"/>
      <c r="AN39" s="2"/>
      <c r="AO39" s="2"/>
    </row>
    <row r="40" spans="1:41" ht="15">
      <c r="A40" s="31" t="s">
        <v>69</v>
      </c>
      <c r="B40" s="1">
        <f aca="true" t="shared" si="18" ref="B40:K40">B35-B38+B39</f>
        <v>49181.81818181818</v>
      </c>
      <c r="C40" s="1">
        <f t="shared" si="18"/>
        <v>49571.81818181818</v>
      </c>
      <c r="D40" s="1">
        <f t="shared" si="18"/>
        <v>-34.28181818181838</v>
      </c>
      <c r="E40" s="1">
        <f t="shared" si="18"/>
        <v>50363.55718181818</v>
      </c>
      <c r="F40" s="1">
        <f t="shared" si="18"/>
        <v>50765.374571818174</v>
      </c>
      <c r="G40" s="1">
        <f t="shared" si="18"/>
        <v>51171.21013571819</v>
      </c>
      <c r="H40" s="1">
        <f t="shared" si="18"/>
        <v>51581.10405525718</v>
      </c>
      <c r="I40" s="1">
        <f t="shared" si="18"/>
        <v>1995.0969139915724</v>
      </c>
      <c r="J40" s="1">
        <f t="shared" si="18"/>
        <v>52413.22970131331</v>
      </c>
      <c r="K40" s="1">
        <f t="shared" si="18"/>
        <v>52835.54381650827</v>
      </c>
      <c r="L40" s="21" t="s">
        <v>70</v>
      </c>
      <c r="M40" s="1">
        <f>M35+M39</f>
        <v>1031201.5338722513</v>
      </c>
      <c r="N40" s="1">
        <f>K40+M40</f>
        <v>1084037.0776887597</v>
      </c>
      <c r="T40" s="24"/>
      <c r="V40" s="24"/>
      <c r="W40" s="2"/>
      <c r="AN40" s="2"/>
      <c r="AO40" s="2"/>
    </row>
    <row r="41" spans="13:41" ht="15">
      <c r="M41" s="1"/>
      <c r="N41" s="1"/>
      <c r="T41" s="24"/>
      <c r="V41" s="24"/>
      <c r="W41" s="2"/>
      <c r="AN41" s="2"/>
      <c r="AO41" s="2"/>
    </row>
    <row r="42" spans="1:41" ht="15">
      <c r="A42" s="31" t="s">
        <v>71</v>
      </c>
      <c r="B42" s="1">
        <f aca="true" t="shared" si="19" ref="B42:K42">B34</f>
        <v>10818.181818181818</v>
      </c>
      <c r="C42" s="1">
        <f t="shared" si="19"/>
        <v>11028.181818181818</v>
      </c>
      <c r="D42" s="1">
        <f t="shared" si="19"/>
        <v>11240.281818181817</v>
      </c>
      <c r="E42" s="1">
        <f t="shared" si="19"/>
        <v>11454.502818181816</v>
      </c>
      <c r="F42" s="1">
        <f t="shared" si="19"/>
        <v>11670.866028181816</v>
      </c>
      <c r="G42" s="1">
        <f t="shared" si="19"/>
        <v>11889.39287028182</v>
      </c>
      <c r="H42" s="1">
        <f t="shared" si="19"/>
        <v>12110.104980802818</v>
      </c>
      <c r="I42" s="1">
        <f t="shared" si="19"/>
        <v>12333.024212429025</v>
      </c>
      <c r="J42" s="1">
        <f t="shared" si="19"/>
        <v>12558.1726363715</v>
      </c>
      <c r="K42" s="1">
        <f t="shared" si="19"/>
        <v>12785.5725445534</v>
      </c>
      <c r="L42" s="21" t="s">
        <v>72</v>
      </c>
      <c r="M42" s="1">
        <f>M34</f>
        <v>73420.59153895345</v>
      </c>
      <c r="N42" s="1"/>
      <c r="T42" s="24"/>
      <c r="V42" s="24"/>
      <c r="W42" s="2"/>
      <c r="AN42" s="2"/>
      <c r="AO42" s="2"/>
    </row>
    <row r="43" spans="1:41" ht="15">
      <c r="A43" s="31" t="s">
        <v>73</v>
      </c>
      <c r="B43" s="1">
        <f aca="true" t="shared" si="20" ref="B43:K43">B40+B42</f>
        <v>59999.99999999999</v>
      </c>
      <c r="C43" s="1">
        <f t="shared" si="20"/>
        <v>60599.99999999999</v>
      </c>
      <c r="D43" s="1">
        <f t="shared" si="20"/>
        <v>11205.999999999998</v>
      </c>
      <c r="E43" s="1">
        <f t="shared" si="20"/>
        <v>61818.06</v>
      </c>
      <c r="F43" s="1">
        <f t="shared" si="20"/>
        <v>62436.24059999999</v>
      </c>
      <c r="G43" s="1">
        <f t="shared" si="20"/>
        <v>63060.603006000005</v>
      </c>
      <c r="H43" s="1">
        <f t="shared" si="20"/>
        <v>63691.20903606</v>
      </c>
      <c r="I43" s="1">
        <f t="shared" si="20"/>
        <v>14328.121126420598</v>
      </c>
      <c r="J43" s="1">
        <f t="shared" si="20"/>
        <v>64971.402337684805</v>
      </c>
      <c r="K43" s="1">
        <f t="shared" si="20"/>
        <v>65621.11636106166</v>
      </c>
      <c r="L43" s="21" t="s">
        <v>73</v>
      </c>
      <c r="M43" s="1">
        <f>M40+M42</f>
        <v>1104622.1254112048</v>
      </c>
      <c r="N43" s="1">
        <f>K43+M43</f>
        <v>1170243.2417722663</v>
      </c>
      <c r="T43" s="24"/>
      <c r="V43" s="24"/>
      <c r="W43" s="2"/>
      <c r="AN43" s="2"/>
      <c r="AO43" s="2"/>
    </row>
    <row r="44" spans="13:41" ht="15">
      <c r="M44" s="1"/>
      <c r="N44" s="1"/>
      <c r="T44" s="24"/>
      <c r="V44" s="24"/>
      <c r="W44" s="2"/>
      <c r="AN44" s="2"/>
      <c r="AO44" s="2"/>
    </row>
    <row r="45" spans="13:41" ht="15">
      <c r="M45" s="1"/>
      <c r="N45" s="1"/>
      <c r="T45" s="24"/>
      <c r="V45" s="24"/>
      <c r="W45" s="2"/>
      <c r="AN45" s="2"/>
      <c r="AO45" s="2"/>
    </row>
    <row r="46" spans="1:41" ht="22.5">
      <c r="A46" s="39" t="s">
        <v>74</v>
      </c>
      <c r="M46" s="1"/>
      <c r="N46" s="1"/>
      <c r="T46" s="24"/>
      <c r="V46" s="24"/>
      <c r="AN46" s="2"/>
      <c r="AO46" s="2"/>
    </row>
    <row r="47" spans="13:41" ht="15">
      <c r="M47" s="1"/>
      <c r="N47" s="1"/>
      <c r="T47" s="24"/>
      <c r="V47" s="24"/>
      <c r="AN47" s="2"/>
      <c r="AO47" s="2"/>
    </row>
    <row r="48" spans="1:41" ht="15">
      <c r="A48" t="s">
        <v>75</v>
      </c>
      <c r="C48" s="40">
        <f>B12</f>
        <v>1000000</v>
      </c>
      <c r="E48"/>
      <c r="F48" s="21" t="s">
        <v>76</v>
      </c>
      <c r="G48" s="21" t="s">
        <v>77</v>
      </c>
      <c r="H48"/>
      <c r="M48" s="1"/>
      <c r="N48" s="1"/>
      <c r="V48" s="24"/>
      <c r="AN48" s="2"/>
      <c r="AO48" s="2"/>
    </row>
    <row r="49" spans="1:41" ht="15">
      <c r="A49" t="s">
        <v>78</v>
      </c>
      <c r="C49" s="1">
        <f>B12*G5</f>
        <v>800000</v>
      </c>
      <c r="E49" s="21" t="s">
        <v>79</v>
      </c>
      <c r="F49" s="20">
        <f>E24</f>
        <v>0.06042883175756719</v>
      </c>
      <c r="G49" s="20">
        <f>L24</f>
        <v>0.07397085670193504</v>
      </c>
      <c r="H49"/>
      <c r="M49" s="1"/>
      <c r="N49" s="1"/>
      <c r="AN49" s="2"/>
      <c r="AO49" s="2"/>
    </row>
    <row r="50" spans="1:41" ht="15">
      <c r="A50" t="s">
        <v>80</v>
      </c>
      <c r="C50" s="20">
        <f>C7</f>
        <v>0.35</v>
      </c>
      <c r="E50" s="21" t="s">
        <v>81</v>
      </c>
      <c r="F50" s="20">
        <f>H24</f>
        <v>0.04341856288063206</v>
      </c>
      <c r="G50" s="20">
        <f>M24</f>
        <v>0.06437605624343412</v>
      </c>
      <c r="H50"/>
      <c r="M50" s="1"/>
      <c r="N50" s="1"/>
      <c r="AN50" s="2"/>
      <c r="AO50" s="2"/>
    </row>
    <row r="51" spans="1:41" ht="15">
      <c r="A51" t="s">
        <v>82</v>
      </c>
      <c r="C51" s="20">
        <f>G7</f>
        <v>0.15</v>
      </c>
      <c r="E51" s="21" t="s">
        <v>83</v>
      </c>
      <c r="F51" s="41">
        <f>F50/F49</f>
        <v>0.7185074014805024</v>
      </c>
      <c r="G51" s="41">
        <f>G50/G49</f>
        <v>0.8702894506526659</v>
      </c>
      <c r="M51" s="1"/>
      <c r="N51" s="1"/>
      <c r="AN51" s="2"/>
      <c r="AO51" s="2"/>
    </row>
    <row r="52" spans="1:41" ht="15">
      <c r="A52" t="s">
        <v>84</v>
      </c>
      <c r="B52" s="1" t="s">
        <v>85</v>
      </c>
      <c r="C52" s="20">
        <f>G8</f>
        <v>0.25</v>
      </c>
      <c r="D52" s="1" t="s">
        <v>85</v>
      </c>
      <c r="E52" s="1" t="s">
        <v>85</v>
      </c>
      <c r="F52" s="1" t="s">
        <v>85</v>
      </c>
      <c r="G52" s="1" t="s">
        <v>85</v>
      </c>
      <c r="H52" s="1" t="s">
        <v>85</v>
      </c>
      <c r="I52" s="1" t="s">
        <v>85</v>
      </c>
      <c r="J52" s="1" t="s">
        <v>85</v>
      </c>
      <c r="K52" s="1" t="s">
        <v>85</v>
      </c>
      <c r="L52" s="1" t="s">
        <v>85</v>
      </c>
      <c r="M52" t="s">
        <v>85</v>
      </c>
      <c r="N52" t="s">
        <v>85</v>
      </c>
      <c r="AL52" s="1"/>
      <c r="AN52" s="2"/>
      <c r="AO52" s="2"/>
    </row>
    <row r="53" spans="1:41" ht="15">
      <c r="A53" s="1"/>
      <c r="H53"/>
      <c r="AL53" s="1"/>
      <c r="AN53" s="24"/>
      <c r="AO53" s="24"/>
    </row>
    <row r="54" spans="2:41" ht="15">
      <c r="B54" s="27" t="s">
        <v>47</v>
      </c>
      <c r="K54" s="21" t="s">
        <v>48</v>
      </c>
      <c r="L54" s="21" t="s">
        <v>49</v>
      </c>
      <c r="M54" s="21" t="s">
        <v>50</v>
      </c>
      <c r="N54" s="21" t="s">
        <v>51</v>
      </c>
      <c r="AL54" s="1"/>
      <c r="AN54" s="2"/>
      <c r="AO54" s="2"/>
    </row>
    <row r="55" spans="1:41" ht="15">
      <c r="A55" t="s">
        <v>52</v>
      </c>
      <c r="B55" s="42">
        <v>1</v>
      </c>
      <c r="C55" s="42">
        <v>2</v>
      </c>
      <c r="D55" s="42">
        <v>3</v>
      </c>
      <c r="E55" s="42">
        <v>4</v>
      </c>
      <c r="F55" s="42">
        <v>5</v>
      </c>
      <c r="G55" s="42">
        <v>6</v>
      </c>
      <c r="H55" s="42">
        <v>7</v>
      </c>
      <c r="I55" s="42">
        <v>8</v>
      </c>
      <c r="J55" s="42">
        <v>9</v>
      </c>
      <c r="K55" s="21" t="s">
        <v>53</v>
      </c>
      <c r="L55" s="21" t="s">
        <v>86</v>
      </c>
      <c r="M55" s="21" t="s">
        <v>53</v>
      </c>
      <c r="N55" s="21" t="s">
        <v>53</v>
      </c>
      <c r="AL55" s="1"/>
      <c r="AN55" s="24"/>
      <c r="AO55" s="24"/>
    </row>
    <row r="56" spans="1:41" ht="15">
      <c r="A56" t="s">
        <v>55</v>
      </c>
      <c r="M56" s="1"/>
      <c r="N56" s="1"/>
      <c r="AL56" s="1"/>
      <c r="AN56" s="2"/>
      <c r="AO56" s="2"/>
    </row>
    <row r="57" spans="1:41" ht="15">
      <c r="A57" s="31" t="s">
        <v>32</v>
      </c>
      <c r="B57" s="1">
        <f aca="true" t="shared" si="21" ref="B57:K57">B31</f>
        <v>60000</v>
      </c>
      <c r="C57" s="1">
        <f t="shared" si="21"/>
        <v>60600</v>
      </c>
      <c r="D57" s="1">
        <f t="shared" si="21"/>
        <v>61206</v>
      </c>
      <c r="E57" s="1">
        <f t="shared" si="21"/>
        <v>61818.06</v>
      </c>
      <c r="F57" s="1">
        <f t="shared" si="21"/>
        <v>62436.2406</v>
      </c>
      <c r="G57" s="1">
        <f t="shared" si="21"/>
        <v>63060.603006000005</v>
      </c>
      <c r="H57" s="1">
        <f t="shared" si="21"/>
        <v>63691.20903606</v>
      </c>
      <c r="I57" s="1">
        <f t="shared" si="21"/>
        <v>64328.1211264206</v>
      </c>
      <c r="J57" s="1">
        <f t="shared" si="21"/>
        <v>64971.40233768481</v>
      </c>
      <c r="K57" s="1">
        <f t="shared" si="21"/>
        <v>65621.11636106166</v>
      </c>
      <c r="L57" s="21" t="s">
        <v>56</v>
      </c>
      <c r="M57" s="1">
        <f>M31</f>
        <v>1104622.1254112048</v>
      </c>
      <c r="N57" s="1"/>
      <c r="AL57" s="1"/>
      <c r="AN57" s="2"/>
      <c r="AO57" s="2"/>
    </row>
    <row r="58" spans="1:42" ht="15">
      <c r="A58" s="31" t="s">
        <v>87</v>
      </c>
      <c r="B58" s="1">
        <f aca="true" t="shared" si="22" ref="B58:K58">B32</f>
        <v>29090.909090909092</v>
      </c>
      <c r="C58" s="1">
        <f t="shared" si="22"/>
        <v>29090.909090909092</v>
      </c>
      <c r="D58" s="1">
        <f t="shared" si="22"/>
        <v>29090.909090909092</v>
      </c>
      <c r="E58" s="1">
        <f t="shared" si="22"/>
        <v>29090.909090909092</v>
      </c>
      <c r="F58" s="1">
        <f t="shared" si="22"/>
        <v>29090.909090909092</v>
      </c>
      <c r="G58" s="1">
        <f t="shared" si="22"/>
        <v>29090.909090909092</v>
      </c>
      <c r="H58" s="1">
        <f t="shared" si="22"/>
        <v>29090.909090909092</v>
      </c>
      <c r="I58" s="1">
        <f t="shared" si="22"/>
        <v>29090.909090909092</v>
      </c>
      <c r="J58" s="1">
        <f t="shared" si="22"/>
        <v>29090.909090909092</v>
      </c>
      <c r="K58" s="1">
        <f t="shared" si="22"/>
        <v>29090.909090909092</v>
      </c>
      <c r="L58" s="21" t="s">
        <v>58</v>
      </c>
      <c r="M58" s="1">
        <f>M32</f>
        <v>809090.9090909091</v>
      </c>
      <c r="N58" s="1"/>
      <c r="AL58" s="1"/>
      <c r="AN58" s="24"/>
      <c r="AO58" s="2"/>
      <c r="AP58" s="24"/>
    </row>
    <row r="59" spans="1:42" ht="15">
      <c r="A59" s="31" t="s">
        <v>88</v>
      </c>
      <c r="B59" s="1">
        <f>$J$6*I12</f>
        <v>41250</v>
      </c>
      <c r="C59" s="1">
        <f>$J$6*I13</f>
        <v>41140</v>
      </c>
      <c r="D59" s="1">
        <f>$J$6*$I14</f>
        <v>41030</v>
      </c>
      <c r="E59" s="1">
        <f>$J$6*$I15</f>
        <v>40920</v>
      </c>
      <c r="F59" s="1">
        <f>$J$6*$I16</f>
        <v>40810</v>
      </c>
      <c r="G59" s="1">
        <f>$J$6*$I17</f>
        <v>40700</v>
      </c>
      <c r="H59" s="1">
        <f>$J$6*$I18</f>
        <v>40590</v>
      </c>
      <c r="I59" s="1">
        <f>$J$6*$I19</f>
        <v>40480</v>
      </c>
      <c r="J59" s="1">
        <f>$J$6*$I20</f>
        <v>40370</v>
      </c>
      <c r="K59" s="1">
        <f>$J$6*$I21</f>
        <v>40260</v>
      </c>
      <c r="M59" s="1"/>
      <c r="N59" s="1"/>
      <c r="AL59" s="1"/>
      <c r="AN59" s="24"/>
      <c r="AO59" s="2"/>
      <c r="AP59" s="24"/>
    </row>
    <row r="60" spans="1:42" ht="15">
      <c r="A60" s="31" t="s">
        <v>89</v>
      </c>
      <c r="B60" s="1">
        <f aca="true" t="shared" si="23" ref="B60:K60">B57-B58-B59</f>
        <v>-10340.909090909092</v>
      </c>
      <c r="C60" s="1">
        <f t="shared" si="23"/>
        <v>-9630.909090909092</v>
      </c>
      <c r="D60" s="1">
        <f t="shared" si="23"/>
        <v>-8914.909090909092</v>
      </c>
      <c r="E60" s="1">
        <f t="shared" si="23"/>
        <v>-8192.849090909094</v>
      </c>
      <c r="F60" s="1">
        <f t="shared" si="23"/>
        <v>-7464.668490909098</v>
      </c>
      <c r="G60" s="1">
        <f t="shared" si="23"/>
        <v>-6730.306084909083</v>
      </c>
      <c r="H60" s="1">
        <f t="shared" si="23"/>
        <v>-5989.7000548490905</v>
      </c>
      <c r="I60" s="1">
        <f t="shared" si="23"/>
        <v>-5242.787964488496</v>
      </c>
      <c r="J60" s="1">
        <f t="shared" si="23"/>
        <v>-4489.506753224283</v>
      </c>
      <c r="K60" s="1">
        <f t="shared" si="23"/>
        <v>-3729.792729847424</v>
      </c>
      <c r="L60" s="21" t="s">
        <v>60</v>
      </c>
      <c r="M60" s="1">
        <f>M57-M58</f>
        <v>295531.2163202957</v>
      </c>
      <c r="N60" s="1">
        <f>K60+M60</f>
        <v>291801.4235904483</v>
      </c>
      <c r="AL60" s="1"/>
      <c r="AN60" s="24"/>
      <c r="AO60" s="2"/>
      <c r="AP60" s="24"/>
    </row>
    <row r="61" spans="1:41" ht="15">
      <c r="A61" s="31" t="s">
        <v>61</v>
      </c>
      <c r="B61" s="1">
        <f aca="true" t="shared" si="24" ref="B61:K61">$C$7*B60</f>
        <v>-3619.318181818182</v>
      </c>
      <c r="C61" s="1">
        <f t="shared" si="24"/>
        <v>-3370.818181818182</v>
      </c>
      <c r="D61" s="1">
        <f t="shared" si="24"/>
        <v>-3120.218181818182</v>
      </c>
      <c r="E61" s="1">
        <f t="shared" si="24"/>
        <v>-2867.497181818183</v>
      </c>
      <c r="F61" s="1">
        <f t="shared" si="24"/>
        <v>-2612.6339718181844</v>
      </c>
      <c r="G61" s="1">
        <f t="shared" si="24"/>
        <v>-2355.607129718179</v>
      </c>
      <c r="H61" s="1">
        <f t="shared" si="24"/>
        <v>-2096.3950191971817</v>
      </c>
      <c r="I61" s="1">
        <f t="shared" si="24"/>
        <v>-1834.9757875709736</v>
      </c>
      <c r="J61" s="1">
        <f t="shared" si="24"/>
        <v>-1571.327363628499</v>
      </c>
      <c r="K61" s="1">
        <f t="shared" si="24"/>
        <v>-1305.4274554465983</v>
      </c>
      <c r="L61" s="21" t="s">
        <v>62</v>
      </c>
      <c r="M61" s="1">
        <f>M34</f>
        <v>73420.59153895345</v>
      </c>
      <c r="N61" s="1"/>
      <c r="AL61" s="1"/>
      <c r="AN61" s="2"/>
      <c r="AO61" s="2"/>
    </row>
    <row r="62" spans="1:43" ht="15">
      <c r="A62" s="31" t="s">
        <v>90</v>
      </c>
      <c r="B62" s="1">
        <f aca="true" t="shared" si="25" ref="B62:K62">B60-B61</f>
        <v>-6721.59090909091</v>
      </c>
      <c r="C62" s="1">
        <f t="shared" si="25"/>
        <v>-6260.09090909091</v>
      </c>
      <c r="D62" s="1">
        <f t="shared" si="25"/>
        <v>-5794.69090909091</v>
      </c>
      <c r="E62" s="1">
        <f t="shared" si="25"/>
        <v>-5325.351909090911</v>
      </c>
      <c r="F62" s="1">
        <f t="shared" si="25"/>
        <v>-4852.034519090914</v>
      </c>
      <c r="G62" s="1">
        <f t="shared" si="25"/>
        <v>-4374.698955190905</v>
      </c>
      <c r="H62" s="1">
        <f t="shared" si="25"/>
        <v>-3893.305035651909</v>
      </c>
      <c r="I62" s="1">
        <f t="shared" si="25"/>
        <v>-3407.8121769175223</v>
      </c>
      <c r="J62" s="1">
        <f t="shared" si="25"/>
        <v>-2918.179389595784</v>
      </c>
      <c r="K62" s="1">
        <f t="shared" si="25"/>
        <v>-2424.365274400826</v>
      </c>
      <c r="L62" s="21" t="s">
        <v>91</v>
      </c>
      <c r="M62" s="1">
        <f>M60-M61</f>
        <v>222110.62478134225</v>
      </c>
      <c r="N62" s="1">
        <f>K62+M62</f>
        <v>219686.25950694142</v>
      </c>
      <c r="AL62" s="1"/>
      <c r="AN62" s="24"/>
      <c r="AO62" s="2"/>
      <c r="AP62" s="24"/>
      <c r="AQ62" s="2"/>
    </row>
    <row r="63" spans="13:42" ht="15">
      <c r="M63" s="1"/>
      <c r="N63" s="1"/>
      <c r="AL63" s="1"/>
      <c r="AN63" s="24"/>
      <c r="AO63" s="2"/>
      <c r="AP63" s="24"/>
    </row>
    <row r="64" spans="1:42" ht="15">
      <c r="A64" t="s">
        <v>65</v>
      </c>
      <c r="M64" s="1"/>
      <c r="N64" s="1"/>
      <c r="AL64" s="1"/>
      <c r="AN64" s="24"/>
      <c r="AO64" s="2"/>
      <c r="AP64" s="24"/>
    </row>
    <row r="65" spans="1:42" ht="15">
      <c r="A65" s="31" t="s">
        <v>92</v>
      </c>
      <c r="B65" s="1">
        <f aca="true" t="shared" si="26" ref="B65:K65">B38</f>
        <v>0</v>
      </c>
      <c r="C65" s="1">
        <f t="shared" si="26"/>
        <v>0</v>
      </c>
      <c r="D65" s="1">
        <f t="shared" si="26"/>
        <v>50000</v>
      </c>
      <c r="E65" s="1">
        <f t="shared" si="26"/>
        <v>0</v>
      </c>
      <c r="F65" s="1">
        <f t="shared" si="26"/>
        <v>0</v>
      </c>
      <c r="G65" s="1">
        <f t="shared" si="26"/>
        <v>0</v>
      </c>
      <c r="H65" s="1">
        <f t="shared" si="26"/>
        <v>0</v>
      </c>
      <c r="I65" s="1">
        <f t="shared" si="26"/>
        <v>50000</v>
      </c>
      <c r="J65" s="1">
        <f t="shared" si="26"/>
        <v>0</v>
      </c>
      <c r="K65" s="1">
        <f t="shared" si="26"/>
        <v>0</v>
      </c>
      <c r="M65" s="1"/>
      <c r="N65" s="1"/>
      <c r="AL65" s="1"/>
      <c r="AN65" s="24"/>
      <c r="AO65" s="2"/>
      <c r="AP65" s="24"/>
    </row>
    <row r="66" spans="1:42" ht="15">
      <c r="A66" s="31" t="s">
        <v>93</v>
      </c>
      <c r="B66" s="1">
        <f aca="true" t="shared" si="27" ref="B66:K66">B58</f>
        <v>29090.909090909092</v>
      </c>
      <c r="C66" s="1">
        <f t="shared" si="27"/>
        <v>29090.909090909092</v>
      </c>
      <c r="D66" s="1">
        <f t="shared" si="27"/>
        <v>29090.909090909092</v>
      </c>
      <c r="E66" s="1">
        <f t="shared" si="27"/>
        <v>29090.909090909092</v>
      </c>
      <c r="F66" s="1">
        <f t="shared" si="27"/>
        <v>29090.909090909092</v>
      </c>
      <c r="G66" s="1">
        <f t="shared" si="27"/>
        <v>29090.909090909092</v>
      </c>
      <c r="H66" s="1">
        <f t="shared" si="27"/>
        <v>29090.909090909092</v>
      </c>
      <c r="I66" s="1">
        <f t="shared" si="27"/>
        <v>29090.909090909092</v>
      </c>
      <c r="J66" s="1">
        <f t="shared" si="27"/>
        <v>29090.909090909092</v>
      </c>
      <c r="K66" s="1">
        <f t="shared" si="27"/>
        <v>29090.909090909092</v>
      </c>
      <c r="L66" s="21" t="s">
        <v>68</v>
      </c>
      <c r="M66" s="1">
        <f>M58</f>
        <v>809090.9090909091</v>
      </c>
      <c r="N66" s="1"/>
      <c r="AL66" s="1"/>
      <c r="AN66" s="2"/>
      <c r="AO66" s="2"/>
      <c r="AP66" s="24"/>
    </row>
    <row r="67" spans="1:41" ht="15">
      <c r="A67" s="31" t="s">
        <v>94</v>
      </c>
      <c r="B67" s="1">
        <f aca="true" t="shared" si="28" ref="B67:K67">$J$7</f>
        <v>2000</v>
      </c>
      <c r="C67" s="1">
        <f t="shared" si="28"/>
        <v>2000</v>
      </c>
      <c r="D67" s="1">
        <f t="shared" si="28"/>
        <v>2000</v>
      </c>
      <c r="E67" s="1">
        <f t="shared" si="28"/>
        <v>2000</v>
      </c>
      <c r="F67" s="1">
        <f t="shared" si="28"/>
        <v>2000</v>
      </c>
      <c r="G67" s="1">
        <f t="shared" si="28"/>
        <v>2000</v>
      </c>
      <c r="H67" s="1">
        <f t="shared" si="28"/>
        <v>2000</v>
      </c>
      <c r="I67" s="1">
        <f t="shared" si="28"/>
        <v>2000</v>
      </c>
      <c r="J67" s="1">
        <f t="shared" si="28"/>
        <v>2000</v>
      </c>
      <c r="K67" s="1">
        <f t="shared" si="28"/>
        <v>2000</v>
      </c>
      <c r="L67" s="21" t="s">
        <v>95</v>
      </c>
      <c r="M67" s="1">
        <f>J5-SUM(B67:K67)</f>
        <v>730000</v>
      </c>
      <c r="N67" s="1"/>
      <c r="AL67" s="1"/>
      <c r="AN67" s="2"/>
      <c r="AO67" s="2"/>
    </row>
    <row r="68" spans="1:41" ht="15">
      <c r="A68" s="31" t="s">
        <v>96</v>
      </c>
      <c r="B68" s="1">
        <f aca="true" t="shared" si="29" ref="B68:K68">B62-B65+B66-B67</f>
        <v>20369.318181818184</v>
      </c>
      <c r="C68" s="1">
        <f t="shared" si="29"/>
        <v>20830.818181818184</v>
      </c>
      <c r="D68" s="1">
        <f t="shared" si="29"/>
        <v>-28703.78181818182</v>
      </c>
      <c r="E68" s="1">
        <f t="shared" si="29"/>
        <v>21765.55718181818</v>
      </c>
      <c r="F68" s="1">
        <f t="shared" si="29"/>
        <v>22238.874571818178</v>
      </c>
      <c r="G68" s="1">
        <f t="shared" si="29"/>
        <v>22716.21013571819</v>
      </c>
      <c r="H68" s="1">
        <f t="shared" si="29"/>
        <v>23197.604055257183</v>
      </c>
      <c r="I68" s="1">
        <f t="shared" si="29"/>
        <v>-26316.903086008428</v>
      </c>
      <c r="J68" s="1">
        <f t="shared" si="29"/>
        <v>24172.729701313307</v>
      </c>
      <c r="K68" s="1">
        <f t="shared" si="29"/>
        <v>24666.543816508267</v>
      </c>
      <c r="L68" s="21" t="s">
        <v>96</v>
      </c>
      <c r="M68" s="1">
        <f>M62+M66-M67</f>
        <v>301201.5338722513</v>
      </c>
      <c r="N68" s="1">
        <f>K68+M68</f>
        <v>325868.07768875954</v>
      </c>
      <c r="AL68" s="1"/>
      <c r="AN68" s="2"/>
      <c r="AO68" s="2"/>
    </row>
    <row r="69" spans="13:41" ht="15">
      <c r="M69" s="1"/>
      <c r="N69" s="1"/>
      <c r="AL69" s="1"/>
      <c r="AN69" s="2"/>
      <c r="AO69" s="2"/>
    </row>
    <row r="70" spans="1:41" ht="15">
      <c r="A70" s="31" t="s">
        <v>71</v>
      </c>
      <c r="B70" s="1">
        <f aca="true" t="shared" si="30" ref="B70:K70">B61</f>
        <v>-3619.318181818182</v>
      </c>
      <c r="C70" s="1">
        <f t="shared" si="30"/>
        <v>-3370.818181818182</v>
      </c>
      <c r="D70" s="1">
        <f t="shared" si="30"/>
        <v>-3120.218181818182</v>
      </c>
      <c r="E70" s="1">
        <f t="shared" si="30"/>
        <v>-2867.497181818183</v>
      </c>
      <c r="F70" s="1">
        <f t="shared" si="30"/>
        <v>-2612.6339718181844</v>
      </c>
      <c r="G70" s="1">
        <f t="shared" si="30"/>
        <v>-2355.607129718179</v>
      </c>
      <c r="H70" s="1">
        <f t="shared" si="30"/>
        <v>-2096.3950191971817</v>
      </c>
      <c r="I70" s="1">
        <f t="shared" si="30"/>
        <v>-1834.9757875709736</v>
      </c>
      <c r="J70" s="1">
        <f t="shared" si="30"/>
        <v>-1571.327363628499</v>
      </c>
      <c r="K70" s="1">
        <f t="shared" si="30"/>
        <v>-1305.4274554465983</v>
      </c>
      <c r="L70" s="21" t="s">
        <v>72</v>
      </c>
      <c r="M70" s="1">
        <f>M61</f>
        <v>73420.59153895345</v>
      </c>
      <c r="N70" s="1"/>
      <c r="AL70" s="1"/>
      <c r="AN70" s="2"/>
      <c r="AO70" s="2"/>
    </row>
    <row r="71" spans="1:41" ht="15">
      <c r="A71" s="31" t="s">
        <v>97</v>
      </c>
      <c r="B71" s="1">
        <f aca="true" t="shared" si="31" ref="B71:K71">B68+B70</f>
        <v>16750</v>
      </c>
      <c r="C71" s="1">
        <f t="shared" si="31"/>
        <v>17460</v>
      </c>
      <c r="D71" s="1">
        <f t="shared" si="31"/>
        <v>-31824</v>
      </c>
      <c r="E71" s="1">
        <f t="shared" si="31"/>
        <v>18898.059999999998</v>
      </c>
      <c r="F71" s="1">
        <f t="shared" si="31"/>
        <v>19626.240599999994</v>
      </c>
      <c r="G71" s="1">
        <f t="shared" si="31"/>
        <v>20360.603006000012</v>
      </c>
      <c r="H71" s="1">
        <f t="shared" si="31"/>
        <v>21101.20903606</v>
      </c>
      <c r="I71" s="1">
        <f t="shared" si="31"/>
        <v>-28151.8788735794</v>
      </c>
      <c r="J71" s="1">
        <f t="shared" si="31"/>
        <v>22601.40233768481</v>
      </c>
      <c r="K71" s="1">
        <f t="shared" si="31"/>
        <v>23361.116361061668</v>
      </c>
      <c r="L71" s="21" t="s">
        <v>97</v>
      </c>
      <c r="M71" s="1">
        <f>M68+M70</f>
        <v>374622.12541120476</v>
      </c>
      <c r="N71" s="1">
        <f>K71+M71</f>
        <v>397983.24177226645</v>
      </c>
      <c r="AL71" s="1"/>
      <c r="AN71" s="2"/>
      <c r="AO71" s="2"/>
    </row>
    <row r="72" spans="13:41" ht="15">
      <c r="M72" s="1"/>
      <c r="N72" s="1"/>
      <c r="AL72" s="1"/>
      <c r="AN72" s="2"/>
      <c r="AO72" s="2"/>
    </row>
    <row r="73" spans="1:19" ht="15">
      <c r="A73" t="s">
        <v>85</v>
      </c>
      <c r="B73" s="1" t="s">
        <v>85</v>
      </c>
      <c r="C73" s="1" t="s">
        <v>85</v>
      </c>
      <c r="D73" s="1" t="s">
        <v>85</v>
      </c>
      <c r="E73" s="1" t="s">
        <v>85</v>
      </c>
      <c r="F73" s="1" t="s">
        <v>85</v>
      </c>
      <c r="G73" s="1" t="s">
        <v>85</v>
      </c>
      <c r="H73" s="1" t="s">
        <v>85</v>
      </c>
      <c r="I73" s="1" t="s">
        <v>85</v>
      </c>
      <c r="J73" s="1" t="s">
        <v>85</v>
      </c>
      <c r="K73" s="1" t="s">
        <v>85</v>
      </c>
      <c r="L73" s="1" t="s">
        <v>85</v>
      </c>
      <c r="M73" s="1" t="s">
        <v>85</v>
      </c>
      <c r="N73" s="1" t="s">
        <v>85</v>
      </c>
      <c r="O73" s="1"/>
      <c r="P73" s="1"/>
      <c r="Q73" s="1"/>
      <c r="R73" s="1"/>
      <c r="S73" s="1"/>
    </row>
    <row r="74" spans="1:8" ht="15">
      <c r="A74" s="1" t="s">
        <v>98</v>
      </c>
      <c r="H74"/>
    </row>
    <row r="75" spans="2:14" ht="15">
      <c r="B75" s="27" t="s">
        <v>47</v>
      </c>
      <c r="K75" s="21" t="s">
        <v>48</v>
      </c>
      <c r="L75" s="21" t="s">
        <v>49</v>
      </c>
      <c r="M75" s="31" t="s">
        <v>50</v>
      </c>
      <c r="N75" s="31" t="s">
        <v>51</v>
      </c>
    </row>
    <row r="76" spans="1:14" ht="15">
      <c r="A76" t="s">
        <v>52</v>
      </c>
      <c r="B76" s="42">
        <v>1</v>
      </c>
      <c r="C76" s="42">
        <v>2</v>
      </c>
      <c r="D76" s="42">
        <v>3</v>
      </c>
      <c r="E76" s="42">
        <v>4</v>
      </c>
      <c r="F76" s="42">
        <v>5</v>
      </c>
      <c r="G76" s="42">
        <v>6</v>
      </c>
      <c r="H76" s="42">
        <v>7</v>
      </c>
      <c r="I76" s="42">
        <v>8</v>
      </c>
      <c r="J76" s="42">
        <v>9</v>
      </c>
      <c r="K76" s="21" t="s">
        <v>53</v>
      </c>
      <c r="L76" s="21" t="s">
        <v>54</v>
      </c>
      <c r="M76" s="31" t="s">
        <v>53</v>
      </c>
      <c r="N76" s="31" t="s">
        <v>53</v>
      </c>
    </row>
    <row r="77" spans="1:14" ht="15">
      <c r="A77" t="s">
        <v>55</v>
      </c>
      <c r="M77" s="1"/>
      <c r="N77" s="1"/>
    </row>
    <row r="78" spans="1:14" ht="15">
      <c r="A78" s="31" t="s">
        <v>32</v>
      </c>
      <c r="B78" s="1">
        <f aca="true" t="shared" si="32" ref="B78:K78">B57</f>
        <v>60000</v>
      </c>
      <c r="C78" s="1">
        <f t="shared" si="32"/>
        <v>60600</v>
      </c>
      <c r="D78" s="1">
        <f t="shared" si="32"/>
        <v>61206</v>
      </c>
      <c r="E78" s="1">
        <f t="shared" si="32"/>
        <v>61818.06</v>
      </c>
      <c r="F78" s="1">
        <f t="shared" si="32"/>
        <v>62436.2406</v>
      </c>
      <c r="G78" s="1">
        <f t="shared" si="32"/>
        <v>63060.603006000005</v>
      </c>
      <c r="H78" s="1">
        <f t="shared" si="32"/>
        <v>63691.20903606</v>
      </c>
      <c r="I78" s="1">
        <f t="shared" si="32"/>
        <v>64328.1211264206</v>
      </c>
      <c r="J78" s="1">
        <f t="shared" si="32"/>
        <v>64971.40233768481</v>
      </c>
      <c r="K78" s="1">
        <f t="shared" si="32"/>
        <v>65621.11636106166</v>
      </c>
      <c r="L78" s="21" t="s">
        <v>56</v>
      </c>
      <c r="M78" s="1">
        <f>M57</f>
        <v>1104622.1254112048</v>
      </c>
      <c r="N78" s="1"/>
    </row>
    <row r="79" spans="1:14" ht="15">
      <c r="A79" s="31" t="s">
        <v>92</v>
      </c>
      <c r="B79" s="1">
        <f aca="true" t="shared" si="33" ref="B79:K79">B65</f>
        <v>0</v>
      </c>
      <c r="C79" s="1">
        <f t="shared" si="33"/>
        <v>0</v>
      </c>
      <c r="D79" s="1">
        <f t="shared" si="33"/>
        <v>50000</v>
      </c>
      <c r="E79" s="1">
        <f t="shared" si="33"/>
        <v>0</v>
      </c>
      <c r="F79" s="1">
        <f t="shared" si="33"/>
        <v>0</v>
      </c>
      <c r="G79" s="1">
        <f t="shared" si="33"/>
        <v>0</v>
      </c>
      <c r="H79" s="1">
        <f t="shared" si="33"/>
        <v>0</v>
      </c>
      <c r="I79" s="1">
        <f t="shared" si="33"/>
        <v>50000</v>
      </c>
      <c r="J79" s="1">
        <f t="shared" si="33"/>
        <v>0</v>
      </c>
      <c r="K79" s="1">
        <f t="shared" si="33"/>
        <v>0</v>
      </c>
      <c r="M79" s="1"/>
      <c r="N79" s="1"/>
    </row>
    <row r="80" spans="1:14" ht="15">
      <c r="A80" s="31" t="s">
        <v>73</v>
      </c>
      <c r="B80" s="1">
        <f aca="true" t="shared" si="34" ref="B80:K80">B78-B79</f>
        <v>60000</v>
      </c>
      <c r="C80" s="1">
        <f t="shared" si="34"/>
        <v>60600</v>
      </c>
      <c r="D80" s="1">
        <f t="shared" si="34"/>
        <v>11206</v>
      </c>
      <c r="E80" s="1">
        <f t="shared" si="34"/>
        <v>61818.06</v>
      </c>
      <c r="F80" s="1">
        <f t="shared" si="34"/>
        <v>62436.2406</v>
      </c>
      <c r="G80" s="1">
        <f t="shared" si="34"/>
        <v>63060.603006000005</v>
      </c>
      <c r="H80" s="1">
        <f t="shared" si="34"/>
        <v>63691.20903606</v>
      </c>
      <c r="I80" s="1">
        <f t="shared" si="34"/>
        <v>14328.1211264206</v>
      </c>
      <c r="J80" s="1">
        <f t="shared" si="34"/>
        <v>64971.40233768481</v>
      </c>
      <c r="K80" s="1">
        <f t="shared" si="34"/>
        <v>65621.11636106166</v>
      </c>
      <c r="L80" s="21" t="s">
        <v>73</v>
      </c>
      <c r="M80" s="1">
        <f>M78</f>
        <v>1104622.1254112048</v>
      </c>
      <c r="N80" s="1">
        <f>K80+M80</f>
        <v>1170243.2417722663</v>
      </c>
    </row>
    <row r="81" spans="1:14" ht="15">
      <c r="A81" s="43" t="s">
        <v>99</v>
      </c>
      <c r="B81" s="1">
        <f aca="true" t="shared" si="35" ref="B81:K81">B59+B67</f>
        <v>43250</v>
      </c>
      <c r="C81" s="1">
        <f t="shared" si="35"/>
        <v>43140</v>
      </c>
      <c r="D81" s="1">
        <f t="shared" si="35"/>
        <v>43030</v>
      </c>
      <c r="E81" s="1">
        <f t="shared" si="35"/>
        <v>42920</v>
      </c>
      <c r="F81" s="1">
        <f t="shared" si="35"/>
        <v>42810</v>
      </c>
      <c r="G81" s="1">
        <f t="shared" si="35"/>
        <v>42700</v>
      </c>
      <c r="H81" s="1">
        <f t="shared" si="35"/>
        <v>42590</v>
      </c>
      <c r="I81" s="1">
        <f t="shared" si="35"/>
        <v>42480</v>
      </c>
      <c r="J81" s="1">
        <f t="shared" si="35"/>
        <v>42370</v>
      </c>
      <c r="K81" s="1">
        <f t="shared" si="35"/>
        <v>42260</v>
      </c>
      <c r="L81" s="21" t="s">
        <v>100</v>
      </c>
      <c r="M81" s="1">
        <f>I22</f>
        <v>730000</v>
      </c>
      <c r="N81" s="1"/>
    </row>
    <row r="82" spans="1:14" ht="15">
      <c r="A82" s="31" t="s">
        <v>97</v>
      </c>
      <c r="B82" s="1">
        <f aca="true" t="shared" si="36" ref="B82:K82">B80-B81</f>
        <v>16750</v>
      </c>
      <c r="C82" s="1">
        <f t="shared" si="36"/>
        <v>17460</v>
      </c>
      <c r="D82" s="1">
        <f t="shared" si="36"/>
        <v>-31824</v>
      </c>
      <c r="E82" s="1">
        <f t="shared" si="36"/>
        <v>18898.059999999998</v>
      </c>
      <c r="F82" s="1">
        <f t="shared" si="36"/>
        <v>19626.240599999997</v>
      </c>
      <c r="G82" s="1">
        <f t="shared" si="36"/>
        <v>20360.603006000005</v>
      </c>
      <c r="H82" s="1">
        <f t="shared" si="36"/>
        <v>21101.209036059998</v>
      </c>
      <c r="I82" s="1">
        <f t="shared" si="36"/>
        <v>-28151.8788735794</v>
      </c>
      <c r="J82" s="1">
        <f t="shared" si="36"/>
        <v>22601.402337684813</v>
      </c>
      <c r="K82" s="1">
        <f t="shared" si="36"/>
        <v>23361.116361061664</v>
      </c>
      <c r="L82" s="21" t="s">
        <v>97</v>
      </c>
      <c r="M82" s="1">
        <f>M80-M81</f>
        <v>374622.12541120476</v>
      </c>
      <c r="N82" s="1">
        <f>K82+M82</f>
        <v>397983.24177226645</v>
      </c>
    </row>
    <row r="83" spans="1:256" ht="15">
      <c r="A83" s="21" t="s">
        <v>101</v>
      </c>
      <c r="B83" s="1">
        <f aca="true" t="shared" si="37" ref="B83:K83">$C$7*B78</f>
        <v>21000</v>
      </c>
      <c r="C83" s="1">
        <f t="shared" si="37"/>
        <v>21210</v>
      </c>
      <c r="D83" s="1">
        <f t="shared" si="37"/>
        <v>21422.1</v>
      </c>
      <c r="E83" s="1">
        <f t="shared" si="37"/>
        <v>21636.320999999996</v>
      </c>
      <c r="F83" s="1">
        <f t="shared" si="37"/>
        <v>21852.68421</v>
      </c>
      <c r="G83" s="1">
        <f t="shared" si="37"/>
        <v>22071.2110521</v>
      </c>
      <c r="H83" s="1">
        <f t="shared" si="37"/>
        <v>22291.923162621</v>
      </c>
      <c r="I83" s="1">
        <f t="shared" si="37"/>
        <v>22514.842394247207</v>
      </c>
      <c r="J83" s="1">
        <f t="shared" si="37"/>
        <v>22739.990818189683</v>
      </c>
      <c r="K83" s="1">
        <f t="shared" si="37"/>
        <v>22967.39072637158</v>
      </c>
      <c r="L83" s="21" t="s">
        <v>102</v>
      </c>
      <c r="M83" s="1">
        <f>G7*(M78-(B12+SUM(B79:K79)))</f>
        <v>693.3188116807141</v>
      </c>
      <c r="N83" s="1">
        <f>K83+M83</f>
        <v>23660.709538052295</v>
      </c>
      <c r="O83" s="1"/>
      <c r="P83" s="1"/>
      <c r="Q83" s="1"/>
      <c r="R83" s="1"/>
      <c r="S83" s="1"/>
      <c r="T83" s="1"/>
      <c r="U83" s="20"/>
      <c r="V83" s="20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14" ht="15">
      <c r="A84" s="31" t="s">
        <v>103</v>
      </c>
      <c r="B84" s="1">
        <f aca="true" t="shared" si="38" ref="B84:K84">$C$7*B58</f>
        <v>10181.818181818182</v>
      </c>
      <c r="C84" s="1">
        <f t="shared" si="38"/>
        <v>10181.818181818182</v>
      </c>
      <c r="D84" s="1">
        <f t="shared" si="38"/>
        <v>10181.818181818182</v>
      </c>
      <c r="E84" s="1">
        <f t="shared" si="38"/>
        <v>10181.818181818182</v>
      </c>
      <c r="F84" s="1">
        <f t="shared" si="38"/>
        <v>10181.818181818182</v>
      </c>
      <c r="G84" s="1">
        <f t="shared" si="38"/>
        <v>10181.818181818182</v>
      </c>
      <c r="H84" s="1">
        <f t="shared" si="38"/>
        <v>10181.818181818182</v>
      </c>
      <c r="I84" s="1">
        <f t="shared" si="38"/>
        <v>10181.818181818182</v>
      </c>
      <c r="J84" s="1">
        <f t="shared" si="38"/>
        <v>10181.818181818182</v>
      </c>
      <c r="K84" s="1">
        <f t="shared" si="38"/>
        <v>10181.818181818182</v>
      </c>
      <c r="L84" s="21" t="s">
        <v>104</v>
      </c>
      <c r="M84" s="1">
        <f>-G8*SUM(B58:K58)</f>
        <v>-72727.27272727274</v>
      </c>
      <c r="N84" s="1">
        <f>K84+M84</f>
        <v>-62545.45454545455</v>
      </c>
    </row>
    <row r="85" spans="1:14" ht="15">
      <c r="A85" s="31" t="s">
        <v>105</v>
      </c>
      <c r="B85" s="1">
        <f aca="true" t="shared" si="39" ref="B85:K85">$C$7*B59</f>
        <v>14437.499999999998</v>
      </c>
      <c r="C85" s="1">
        <f t="shared" si="39"/>
        <v>14398.999999999998</v>
      </c>
      <c r="D85" s="1">
        <f t="shared" si="39"/>
        <v>14360.499999999998</v>
      </c>
      <c r="E85" s="1">
        <f t="shared" si="39"/>
        <v>14322</v>
      </c>
      <c r="F85" s="1">
        <f t="shared" si="39"/>
        <v>14283.5</v>
      </c>
      <c r="G85" s="1">
        <f t="shared" si="39"/>
        <v>14245</v>
      </c>
      <c r="H85" s="1">
        <f t="shared" si="39"/>
        <v>14206.5</v>
      </c>
      <c r="I85" s="1">
        <f t="shared" si="39"/>
        <v>14168</v>
      </c>
      <c r="J85" s="1">
        <f t="shared" si="39"/>
        <v>14129.5</v>
      </c>
      <c r="K85" s="1">
        <f t="shared" si="39"/>
        <v>14091</v>
      </c>
      <c r="M85" s="1"/>
      <c r="N85" s="1">
        <f>K85+M85</f>
        <v>14091</v>
      </c>
    </row>
    <row r="86" spans="1:14" ht="15">
      <c r="A86" s="31" t="s">
        <v>96</v>
      </c>
      <c r="B86" s="1">
        <f aca="true" t="shared" si="40" ref="B86:K86">B82-B83+B84+B85</f>
        <v>20369.31818181818</v>
      </c>
      <c r="C86" s="1">
        <f t="shared" si="40"/>
        <v>20830.81818181818</v>
      </c>
      <c r="D86" s="1">
        <f t="shared" si="40"/>
        <v>-28703.781818181815</v>
      </c>
      <c r="E86" s="1">
        <f t="shared" si="40"/>
        <v>21765.557181818185</v>
      </c>
      <c r="F86" s="1">
        <f t="shared" si="40"/>
        <v>22238.87457181818</v>
      </c>
      <c r="G86" s="1">
        <f t="shared" si="40"/>
        <v>22716.21013571819</v>
      </c>
      <c r="H86" s="1">
        <f t="shared" si="40"/>
        <v>23197.60405525718</v>
      </c>
      <c r="I86" s="1">
        <f t="shared" si="40"/>
        <v>-26316.903086008424</v>
      </c>
      <c r="J86" s="1">
        <f t="shared" si="40"/>
        <v>24172.729701313314</v>
      </c>
      <c r="K86" s="1">
        <f t="shared" si="40"/>
        <v>24666.543816508267</v>
      </c>
      <c r="L86" s="31" t="s">
        <v>44</v>
      </c>
      <c r="M86" s="1">
        <f>M82-M83+M84+M85</f>
        <v>301201.5338722513</v>
      </c>
      <c r="N86" s="1">
        <f>K86+M86</f>
        <v>325868.07768875954</v>
      </c>
    </row>
    <row r="8161" spans="2:12" ht="15">
      <c r="B8161"/>
      <c r="C8161"/>
      <c r="D8161"/>
      <c r="E8161"/>
      <c r="F8161"/>
      <c r="G8161"/>
      <c r="H8161"/>
      <c r="J8161"/>
      <c r="K8161"/>
      <c r="L8161"/>
    </row>
    <row r="8162" spans="2:12" ht="15">
      <c r="B8162"/>
      <c r="C8162"/>
      <c r="D8162"/>
      <c r="E8162"/>
      <c r="F8162"/>
      <c r="G8162"/>
      <c r="H8162"/>
      <c r="J8162"/>
      <c r="K8162"/>
      <c r="L8162"/>
    </row>
    <row r="8163" spans="2:12" ht="15">
      <c r="B8163"/>
      <c r="C8163"/>
      <c r="D8163"/>
      <c r="E8163"/>
      <c r="F8163"/>
      <c r="G8163"/>
      <c r="H8163"/>
      <c r="J8163"/>
      <c r="K8163"/>
      <c r="L8163"/>
    </row>
    <row r="8164" spans="2:12" ht="15">
      <c r="B8164"/>
      <c r="C8164"/>
      <c r="D8164"/>
      <c r="E8164"/>
      <c r="F8164"/>
      <c r="G8164"/>
      <c r="H8164"/>
      <c r="J8164"/>
      <c r="K8164"/>
      <c r="L8164"/>
    </row>
    <row r="8165" spans="2:12" ht="15">
      <c r="B8165"/>
      <c r="C8165"/>
      <c r="D8165"/>
      <c r="E8165"/>
      <c r="F8165"/>
      <c r="G8165"/>
      <c r="H8165"/>
      <c r="J8165"/>
      <c r="K8165"/>
      <c r="L8165"/>
    </row>
    <row r="8166" spans="2:12" ht="15">
      <c r="B8166"/>
      <c r="C8166"/>
      <c r="D8166"/>
      <c r="E8166"/>
      <c r="F8166"/>
      <c r="G8166"/>
      <c r="H8166"/>
      <c r="J8166"/>
      <c r="K8166"/>
      <c r="L8166"/>
    </row>
    <row r="8167" spans="2:12" ht="15">
      <c r="B8167"/>
      <c r="C8167"/>
      <c r="D8167"/>
      <c r="E8167"/>
      <c r="F8167"/>
      <c r="G8167"/>
      <c r="H8167"/>
      <c r="J8167"/>
      <c r="K8167"/>
      <c r="L8167"/>
    </row>
    <row r="8168" spans="2:12" ht="15">
      <c r="B8168"/>
      <c r="C8168"/>
      <c r="D8168"/>
      <c r="E8168"/>
      <c r="F8168"/>
      <c r="G8168"/>
      <c r="H8168"/>
      <c r="J8168"/>
      <c r="K8168"/>
      <c r="L8168"/>
    </row>
    <row r="8169" spans="2:12" ht="15">
      <c r="B8169"/>
      <c r="C8169"/>
      <c r="D8169"/>
      <c r="E8169"/>
      <c r="F8169"/>
      <c r="G8169"/>
      <c r="H8169"/>
      <c r="J8169"/>
      <c r="K8169"/>
      <c r="L8169"/>
    </row>
    <row r="8170" spans="2:12" ht="15">
      <c r="B8170"/>
      <c r="C8170"/>
      <c r="D8170"/>
      <c r="E8170"/>
      <c r="F8170"/>
      <c r="G8170"/>
      <c r="H8170"/>
      <c r="J8170"/>
      <c r="K8170"/>
      <c r="L8170"/>
    </row>
    <row r="8171" spans="2:12" ht="15">
      <c r="B8171"/>
      <c r="C8171"/>
      <c r="D8171"/>
      <c r="E8171"/>
      <c r="F8171"/>
      <c r="G8171"/>
      <c r="H8171"/>
      <c r="J8171"/>
      <c r="K8171"/>
      <c r="L8171"/>
    </row>
    <row r="8172" spans="2:12" ht="15">
      <c r="B8172"/>
      <c r="C8172"/>
      <c r="D8172"/>
      <c r="E8172"/>
      <c r="F8172"/>
      <c r="G8172"/>
      <c r="H8172"/>
      <c r="J8172"/>
      <c r="K8172"/>
      <c r="L8172"/>
    </row>
    <row r="8173" spans="2:12" ht="15">
      <c r="B8173"/>
      <c r="C8173"/>
      <c r="D8173"/>
      <c r="E8173"/>
      <c r="F8173"/>
      <c r="G8173"/>
      <c r="H8173"/>
      <c r="J8173"/>
      <c r="K8173"/>
      <c r="L8173"/>
    </row>
    <row r="8174" spans="2:12" ht="15">
      <c r="B8174"/>
      <c r="C8174"/>
      <c r="D8174"/>
      <c r="E8174"/>
      <c r="F8174"/>
      <c r="G8174"/>
      <c r="H8174"/>
      <c r="J8174"/>
      <c r="K8174"/>
      <c r="L8174"/>
    </row>
    <row r="8175" spans="2:12" ht="15">
      <c r="B8175"/>
      <c r="C8175"/>
      <c r="D8175"/>
      <c r="E8175"/>
      <c r="F8175"/>
      <c r="G8175"/>
      <c r="H8175"/>
      <c r="J8175"/>
      <c r="K8175"/>
      <c r="L8175"/>
    </row>
    <row r="8176" spans="2:12" ht="15">
      <c r="B8176"/>
      <c r="C8176"/>
      <c r="D8176"/>
      <c r="E8176"/>
      <c r="F8176"/>
      <c r="G8176"/>
      <c r="H8176"/>
      <c r="J8176"/>
      <c r="K8176"/>
      <c r="L8176"/>
    </row>
    <row r="8177" spans="2:12" ht="15">
      <c r="B8177"/>
      <c r="C8177"/>
      <c r="D8177"/>
      <c r="E8177"/>
      <c r="F8177"/>
      <c r="G8177"/>
      <c r="H8177"/>
      <c r="J8177"/>
      <c r="K8177"/>
      <c r="L8177"/>
    </row>
    <row r="8178" spans="2:12" ht="15">
      <c r="B8178"/>
      <c r="C8178"/>
      <c r="D8178"/>
      <c r="E8178"/>
      <c r="F8178"/>
      <c r="G8178"/>
      <c r="H8178"/>
      <c r="J8178"/>
      <c r="K8178"/>
      <c r="L8178"/>
    </row>
    <row r="8179" spans="2:12" ht="15">
      <c r="B8179"/>
      <c r="C8179"/>
      <c r="D8179"/>
      <c r="E8179"/>
      <c r="F8179"/>
      <c r="G8179"/>
      <c r="H8179"/>
      <c r="J8179"/>
      <c r="K8179"/>
      <c r="L8179"/>
    </row>
    <row r="8180" spans="2:12" ht="15">
      <c r="B8180"/>
      <c r="C8180"/>
      <c r="D8180"/>
      <c r="E8180"/>
      <c r="F8180"/>
      <c r="G8180"/>
      <c r="H8180"/>
      <c r="J8180"/>
      <c r="K8180"/>
      <c r="L8180"/>
    </row>
    <row r="8181" spans="2:12" ht="15">
      <c r="B8181"/>
      <c r="C8181"/>
      <c r="D8181"/>
      <c r="E8181"/>
      <c r="F8181"/>
      <c r="G8181"/>
      <c r="H8181"/>
      <c r="J8181"/>
      <c r="K8181"/>
      <c r="L8181"/>
    </row>
    <row r="8182" spans="2:12" ht="15">
      <c r="B8182"/>
      <c r="C8182"/>
      <c r="D8182"/>
      <c r="E8182"/>
      <c r="F8182"/>
      <c r="G8182"/>
      <c r="H8182"/>
      <c r="J8182"/>
      <c r="K8182"/>
      <c r="L8182"/>
    </row>
    <row r="8183" spans="2:12" ht="15">
      <c r="B8183"/>
      <c r="C8183"/>
      <c r="D8183"/>
      <c r="E8183"/>
      <c r="F8183"/>
      <c r="G8183"/>
      <c r="H8183"/>
      <c r="J8183"/>
      <c r="K8183"/>
      <c r="L8183"/>
    </row>
    <row r="8184" spans="2:12" ht="15">
      <c r="B8184"/>
      <c r="C8184"/>
      <c r="D8184"/>
      <c r="E8184"/>
      <c r="F8184"/>
      <c r="G8184"/>
      <c r="H8184"/>
      <c r="J8184"/>
      <c r="K8184"/>
      <c r="L8184"/>
    </row>
    <row r="8185" spans="2:12" ht="15">
      <c r="B8185"/>
      <c r="C8185"/>
      <c r="D8185"/>
      <c r="E8185"/>
      <c r="F8185"/>
      <c r="G8185"/>
      <c r="H8185"/>
      <c r="J8185"/>
      <c r="K8185"/>
      <c r="L8185"/>
    </row>
    <row r="8186" spans="2:12" ht="15">
      <c r="B8186"/>
      <c r="C8186"/>
      <c r="D8186"/>
      <c r="E8186"/>
      <c r="F8186"/>
      <c r="G8186"/>
      <c r="H8186"/>
      <c r="J8186"/>
      <c r="K8186"/>
      <c r="L8186"/>
    </row>
    <row r="8187" spans="2:12" ht="15">
      <c r="B8187"/>
      <c r="C8187"/>
      <c r="D8187"/>
      <c r="E8187"/>
      <c r="F8187"/>
      <c r="G8187"/>
      <c r="H8187"/>
      <c r="J8187"/>
      <c r="K8187"/>
      <c r="L8187"/>
    </row>
    <row r="8188" spans="2:12" ht="15">
      <c r="B8188"/>
      <c r="C8188"/>
      <c r="D8188"/>
      <c r="E8188"/>
      <c r="F8188"/>
      <c r="G8188"/>
      <c r="H8188"/>
      <c r="J8188"/>
      <c r="K8188"/>
      <c r="L8188"/>
    </row>
    <row r="8189" spans="2:12" ht="15">
      <c r="B8189"/>
      <c r="C8189"/>
      <c r="D8189"/>
      <c r="E8189"/>
      <c r="F8189"/>
      <c r="G8189"/>
      <c r="H8189"/>
      <c r="J8189"/>
      <c r="K8189"/>
      <c r="L8189"/>
    </row>
    <row r="8190" spans="2:12" ht="15">
      <c r="B8190"/>
      <c r="C8190"/>
      <c r="D8190"/>
      <c r="E8190"/>
      <c r="F8190"/>
      <c r="G8190"/>
      <c r="H8190"/>
      <c r="J8190"/>
      <c r="K8190"/>
      <c r="L8190"/>
    </row>
    <row r="8191" spans="2:12" ht="15">
      <c r="B8191"/>
      <c r="C8191"/>
      <c r="D8191"/>
      <c r="E8191"/>
      <c r="F8191"/>
      <c r="G8191"/>
      <c r="H8191"/>
      <c r="J8191"/>
      <c r="K8191"/>
      <c r="L8191"/>
    </row>
    <row r="8192" spans="2:12" ht="15">
      <c r="B8192"/>
      <c r="C8192"/>
      <c r="D8192"/>
      <c r="E8192"/>
      <c r="F8192"/>
      <c r="G8192"/>
      <c r="H8192"/>
      <c r="J8192"/>
      <c r="K8192"/>
      <c r="L8192"/>
    </row>
  </sheetData>
  <sheetProtection/>
  <printOptions/>
  <pageMargins left="0.5" right="0.5" top="0.5" bottom="0.55" header="0.5" footer="0.5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193"/>
  <sheetViews>
    <sheetView defaultGridColor="0" zoomScale="50" zoomScaleNormal="50" zoomScalePageLayoutView="0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2" width="10.4453125" style="1" customWidth="1"/>
    <col min="3" max="3" width="10.21484375" style="1" customWidth="1"/>
    <col min="4" max="4" width="9.88671875" style="1" bestFit="1" customWidth="1"/>
    <col min="5" max="5" width="12.5546875" style="1" bestFit="1" customWidth="1"/>
    <col min="6" max="6" width="10.4453125" style="1" bestFit="1" customWidth="1"/>
    <col min="7" max="7" width="10.6640625" style="1" bestFit="1" customWidth="1"/>
    <col min="8" max="8" width="10.4453125" style="1" bestFit="1" customWidth="1"/>
    <col min="9" max="9" width="11.10546875" style="1" bestFit="1" customWidth="1"/>
    <col min="10" max="11" width="9.88671875" style="1" bestFit="1" customWidth="1"/>
    <col min="12" max="12" width="11.10546875" style="1" bestFit="1" customWidth="1"/>
    <col min="13" max="13" width="11.77734375" style="0" customWidth="1"/>
    <col min="14" max="14" width="13.77734375" style="0" customWidth="1"/>
    <col min="15" max="15" width="13.88671875" style="0" customWidth="1"/>
    <col min="16" max="16" width="11.21484375" style="0" customWidth="1"/>
    <col min="17" max="19" width="11.6640625" style="0" customWidth="1"/>
    <col min="20" max="20" width="9.77734375" style="0" customWidth="1"/>
    <col min="21" max="22" width="10.77734375" style="2" customWidth="1"/>
    <col min="23" max="23" width="9.77734375" style="0" customWidth="1"/>
    <col min="24" max="24" width="10.3359375" style="0" customWidth="1"/>
  </cols>
  <sheetData>
    <row r="1" spans="1:13" ht="21">
      <c r="A1" s="45" t="s">
        <v>107</v>
      </c>
      <c r="L1" s="3">
        <f>E5-I5</f>
        <v>249999.99999997707</v>
      </c>
      <c r="M1" s="4" t="s">
        <v>108</v>
      </c>
    </row>
    <row r="2" spans="12:41" ht="15">
      <c r="L2" s="3">
        <f>L1+J6-B13</f>
        <v>-2.293381839990616E-08</v>
      </c>
      <c r="M2" s="4" t="s">
        <v>109</v>
      </c>
      <c r="R2" t="s">
        <v>110</v>
      </c>
      <c r="S2" t="s">
        <v>111</v>
      </c>
      <c r="AN2" s="2"/>
      <c r="AO2" s="2"/>
    </row>
    <row r="3" spans="5:41" ht="18">
      <c r="E3" s="6" t="s">
        <v>112</v>
      </c>
      <c r="I3" s="46" t="s">
        <v>113</v>
      </c>
      <c r="L3" s="3">
        <f>L1+J6</f>
        <v>999999.9999999771</v>
      </c>
      <c r="M3" s="4" t="s">
        <v>114</v>
      </c>
      <c r="R3" s="47">
        <f>-(H13+R5)</f>
        <v>33862.52516875835</v>
      </c>
      <c r="S3" s="5">
        <f>NPV(M25,S14:S23)</f>
        <v>250000</v>
      </c>
      <c r="AN3" s="2"/>
      <c r="AO3" s="2"/>
    </row>
    <row r="4" spans="5:41" ht="15">
      <c r="E4" s="6" t="s">
        <v>115</v>
      </c>
      <c r="F4" s="6" t="s">
        <v>116</v>
      </c>
      <c r="G4" s="48" t="s">
        <v>110</v>
      </c>
      <c r="I4" s="8" t="s">
        <v>115</v>
      </c>
      <c r="J4" s="49" t="s">
        <v>117</v>
      </c>
      <c r="L4" s="3">
        <f>NPV(M25,M14:M23)</f>
        <v>250000</v>
      </c>
      <c r="M4" s="4" t="s">
        <v>118</v>
      </c>
      <c r="Q4" t="s">
        <v>119</v>
      </c>
      <c r="R4" t="s">
        <v>120</v>
      </c>
      <c r="S4" t="s">
        <v>121</v>
      </c>
      <c r="AM4" s="2"/>
      <c r="AN4" s="2"/>
      <c r="AO4" s="2"/>
    </row>
    <row r="5" spans="1:41" ht="18">
      <c r="A5" s="10"/>
      <c r="B5" s="11"/>
      <c r="C5" s="11"/>
      <c r="D5" s="11"/>
      <c r="E5" s="12">
        <f>NPV(H25,H14:H23)</f>
        <v>967119.2974405373</v>
      </c>
      <c r="F5" s="12">
        <f>E5-B13</f>
        <v>-32880.70255946275</v>
      </c>
      <c r="G5" s="13">
        <f>NPV(N25,G14:G23)</f>
        <v>33526.8653814324</v>
      </c>
      <c r="H5" s="11"/>
      <c r="I5" s="14">
        <f>NPV(N25,N14:N23)</f>
        <v>717119.2974405602</v>
      </c>
      <c r="J5" s="46">
        <f>J6-I5</f>
        <v>32880.702559439815</v>
      </c>
      <c r="K5" s="11"/>
      <c r="L5" s="3">
        <f>L4-(B13-J6)</f>
        <v>0</v>
      </c>
      <c r="M5" s="4" t="s">
        <v>122</v>
      </c>
      <c r="N5" s="50"/>
      <c r="O5" s="17"/>
      <c r="P5" s="10"/>
      <c r="Q5" s="18">
        <f>NPV(N25,Q14:Q23)</f>
        <v>-683592.4320591278</v>
      </c>
      <c r="R5" s="19">
        <f>NPV(H25,R14:R23)</f>
        <v>933256.7722718018</v>
      </c>
      <c r="S5" s="5">
        <f>SUM(Q5:R5)</f>
        <v>249664.340212674</v>
      </c>
      <c r="AM5" s="2"/>
      <c r="AN5" s="2"/>
      <c r="AO5" s="2"/>
    </row>
    <row r="6" spans="1:41" ht="15">
      <c r="A6" t="s">
        <v>0</v>
      </c>
      <c r="C6" s="20">
        <v>0.01</v>
      </c>
      <c r="E6" s="1" t="s">
        <v>1</v>
      </c>
      <c r="G6" s="20">
        <v>0.8</v>
      </c>
      <c r="I6" s="21" t="s">
        <v>2</v>
      </c>
      <c r="J6" s="1">
        <v>750000</v>
      </c>
      <c r="L6" s="3">
        <f>B13+L5</f>
        <v>1000000</v>
      </c>
      <c r="M6" s="4" t="s">
        <v>123</v>
      </c>
      <c r="T6" s="22"/>
      <c r="AM6" s="2"/>
      <c r="AN6" s="2"/>
      <c r="AO6" s="2"/>
    </row>
    <row r="7" spans="1:41" ht="15">
      <c r="A7" t="s">
        <v>3</v>
      </c>
      <c r="C7" s="20">
        <v>0.06</v>
      </c>
      <c r="E7" s="1" t="s">
        <v>4</v>
      </c>
      <c r="G7" s="23">
        <v>27.5</v>
      </c>
      <c r="H7" s="1" t="s">
        <v>5</v>
      </c>
      <c r="I7" s="21" t="s">
        <v>6</v>
      </c>
      <c r="J7" s="20">
        <v>0.055</v>
      </c>
      <c r="AL7" s="24"/>
      <c r="AM7" s="2"/>
      <c r="AN7" s="2"/>
      <c r="AO7" s="2"/>
    </row>
    <row r="8" spans="1:41" ht="15">
      <c r="A8" t="s">
        <v>7</v>
      </c>
      <c r="C8" s="20">
        <v>0.35</v>
      </c>
      <c r="E8" s="1" t="s">
        <v>8</v>
      </c>
      <c r="G8" s="20">
        <v>0.15</v>
      </c>
      <c r="I8" s="21" t="s">
        <v>9</v>
      </c>
      <c r="J8" s="1">
        <v>2000</v>
      </c>
      <c r="T8" s="25"/>
      <c r="U8" s="26"/>
      <c r="AL8" s="24"/>
      <c r="AM8" s="2"/>
      <c r="AN8" s="2"/>
      <c r="AO8" s="2"/>
    </row>
    <row r="9" spans="1:41" ht="15">
      <c r="A9" t="s">
        <v>124</v>
      </c>
      <c r="C9" s="20">
        <f>0.25</f>
        <v>0.25</v>
      </c>
      <c r="E9" s="1" t="s">
        <v>10</v>
      </c>
      <c r="G9" s="20">
        <v>0.25</v>
      </c>
      <c r="AL9" s="24"/>
      <c r="AM9" s="2"/>
      <c r="AN9" s="2"/>
      <c r="AO9" s="2"/>
    </row>
    <row r="10" spans="2:41" ht="15">
      <c r="B10" s="27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8" t="s">
        <v>23</v>
      </c>
      <c r="T10" s="29"/>
      <c r="AL10" s="24"/>
      <c r="AM10" s="2"/>
      <c r="AN10" s="2"/>
      <c r="AO10" s="2"/>
    </row>
    <row r="11" spans="6:41" ht="15">
      <c r="F11" s="21" t="s">
        <v>24</v>
      </c>
      <c r="H11" s="21" t="s">
        <v>25</v>
      </c>
      <c r="J11" s="21" t="s">
        <v>26</v>
      </c>
      <c r="L11" s="21" t="s">
        <v>27</v>
      </c>
      <c r="M11" s="21" t="s">
        <v>28</v>
      </c>
      <c r="N11" s="30" t="s">
        <v>29</v>
      </c>
      <c r="AL11" s="24"/>
      <c r="AM11" s="2"/>
      <c r="AN11" s="2"/>
      <c r="AO11" s="2"/>
    </row>
    <row r="12" spans="1:41" ht="15">
      <c r="A12" s="31" t="s">
        <v>30</v>
      </c>
      <c r="B12" s="21" t="s">
        <v>31</v>
      </c>
      <c r="C12" s="21" t="s">
        <v>32</v>
      </c>
      <c r="D12" s="21" t="s">
        <v>33</v>
      </c>
      <c r="E12" s="21" t="s">
        <v>34</v>
      </c>
      <c r="F12" s="21" t="s">
        <v>35</v>
      </c>
      <c r="G12" s="21" t="s">
        <v>36</v>
      </c>
      <c r="H12" s="21" t="s">
        <v>37</v>
      </c>
      <c r="I12" s="21" t="s">
        <v>38</v>
      </c>
      <c r="J12" s="21" t="s">
        <v>39</v>
      </c>
      <c r="K12" s="21" t="s">
        <v>40</v>
      </c>
      <c r="L12" s="21" t="s">
        <v>41</v>
      </c>
      <c r="M12" s="21" t="s">
        <v>42</v>
      </c>
      <c r="N12" s="21" t="s">
        <v>125</v>
      </c>
      <c r="P12" s="32" t="s">
        <v>126</v>
      </c>
      <c r="Q12" s="32" t="s">
        <v>127</v>
      </c>
      <c r="R12" s="32" t="s">
        <v>128</v>
      </c>
      <c r="S12" s="32" t="s">
        <v>44</v>
      </c>
      <c r="U12" s="26"/>
      <c r="AL12" s="24"/>
      <c r="AM12" s="2"/>
      <c r="AN12" s="2"/>
      <c r="AO12" s="2"/>
    </row>
    <row r="13" spans="1:41" ht="15">
      <c r="A13" s="33">
        <v>0</v>
      </c>
      <c r="B13" s="34">
        <v>1000000</v>
      </c>
      <c r="E13" s="34">
        <f>-B13</f>
        <v>-1000000</v>
      </c>
      <c r="H13" s="34">
        <f>-(B13-(J6+N13))</f>
        <v>-967119.2974405602</v>
      </c>
      <c r="I13" s="1">
        <f>J6</f>
        <v>750000</v>
      </c>
      <c r="J13" s="34">
        <f>-J6</f>
        <v>-750000</v>
      </c>
      <c r="L13" s="34">
        <f aca="true" t="shared" si="0" ref="L13:L23">E13-J13</f>
        <v>-250000</v>
      </c>
      <c r="M13" s="1">
        <f>-(B13-J6)</f>
        <v>-250000</v>
      </c>
      <c r="N13" s="35">
        <f>-NPV(N25,N14:N23)</f>
        <v>-717119.2974405602</v>
      </c>
      <c r="O13" s="35">
        <f>-(J6+E4)</f>
        <v>-750000</v>
      </c>
      <c r="P13" s="35"/>
      <c r="Q13" s="35">
        <f>-NPV(N25,Q14:Q23)</f>
        <v>683592.4320591278</v>
      </c>
      <c r="R13" s="35">
        <f>-NPV(H25,R14:R23)</f>
        <v>-933256.7722718018</v>
      </c>
      <c r="S13" s="35">
        <f>-NPV(M25,S14:S23)</f>
        <v>-250000</v>
      </c>
      <c r="AL13" s="24"/>
      <c r="AM13" s="2"/>
      <c r="AN13" s="2"/>
      <c r="AO13" s="2"/>
    </row>
    <row r="14" spans="1:41" ht="15">
      <c r="A14" s="33">
        <f aca="true" t="shared" si="1" ref="A14:A23">1+A13</f>
        <v>1</v>
      </c>
      <c r="B14" s="34">
        <f aca="true" t="shared" si="2" ref="B14:B23">(1+C$6)*B13</f>
        <v>1010000</v>
      </c>
      <c r="C14" s="1">
        <f aca="true" t="shared" si="3" ref="C14:C23">C$7*B13</f>
        <v>60000</v>
      </c>
      <c r="D14" s="1">
        <v>0</v>
      </c>
      <c r="E14" s="34">
        <f aca="true" t="shared" si="4" ref="E14:E22">C14-D14</f>
        <v>60000</v>
      </c>
      <c r="F14" s="1">
        <f aca="true" t="shared" si="5" ref="F14:F22">C$8*C14</f>
        <v>21000</v>
      </c>
      <c r="G14" s="1">
        <f>$B$13*$C$8*$G$6/$G$7</f>
        <v>10181.818181818182</v>
      </c>
      <c r="H14" s="34">
        <f aca="true" t="shared" si="6" ref="H14:H23">E14-F14+G14</f>
        <v>49181.818181818184</v>
      </c>
      <c r="I14" s="1">
        <f aca="true" t="shared" si="7" ref="I14:I23">I13-$J$8</f>
        <v>748000</v>
      </c>
      <c r="J14" s="1">
        <f aca="true" t="shared" si="8" ref="J14:J22">$J$7*I13+$J$8</f>
        <v>43250</v>
      </c>
      <c r="K14" s="1">
        <f aca="true" t="shared" si="9" ref="K14:K23">C$8*I13*J$7</f>
        <v>14437.5</v>
      </c>
      <c r="L14" s="1">
        <f t="shared" si="0"/>
        <v>16750</v>
      </c>
      <c r="M14" s="1">
        <f aca="true" t="shared" si="10" ref="M14:M23">H14-J14+K14</f>
        <v>20369.318181818184</v>
      </c>
      <c r="N14" s="35">
        <f aca="true" t="shared" si="11" ref="N14:N23">J14-K14</f>
        <v>28812.5</v>
      </c>
      <c r="O14" s="35">
        <f aca="true" t="shared" si="12" ref="O14:O23">J14</f>
        <v>43250</v>
      </c>
      <c r="P14" s="35">
        <f aca="true" t="shared" si="13" ref="P14:P23">J14-K14</f>
        <v>28812.5</v>
      </c>
      <c r="Q14" s="36">
        <f aca="true" t="shared" si="14" ref="Q14:Q23">G14-P14</f>
        <v>-18630.681818181816</v>
      </c>
      <c r="R14" s="37">
        <f aca="true" t="shared" si="15" ref="R14:R23">E14-F14</f>
        <v>39000</v>
      </c>
      <c r="S14" s="37">
        <f aca="true" t="shared" si="16" ref="S14:S23">SUM(Q14:R14)</f>
        <v>20369.318181818184</v>
      </c>
      <c r="U14" s="26"/>
      <c r="AL14" s="24"/>
      <c r="AM14" s="2"/>
      <c r="AN14" s="2"/>
      <c r="AO14" s="2"/>
    </row>
    <row r="15" spans="1:41" ht="15">
      <c r="A15" s="33">
        <f t="shared" si="1"/>
        <v>2</v>
      </c>
      <c r="B15" s="34">
        <f t="shared" si="2"/>
        <v>1020100</v>
      </c>
      <c r="C15" s="1">
        <f t="shared" si="3"/>
        <v>60600</v>
      </c>
      <c r="D15" s="1">
        <v>0</v>
      </c>
      <c r="E15" s="34">
        <f t="shared" si="4"/>
        <v>60600</v>
      </c>
      <c r="F15" s="1">
        <f t="shared" si="5"/>
        <v>21210</v>
      </c>
      <c r="G15" s="1">
        <f aca="true" t="shared" si="17" ref="G15:G22">B$13*C$8*G$6/G$7</f>
        <v>10181.818181818182</v>
      </c>
      <c r="H15" s="34">
        <f t="shared" si="6"/>
        <v>49571.818181818184</v>
      </c>
      <c r="I15" s="1">
        <f t="shared" si="7"/>
        <v>746000</v>
      </c>
      <c r="J15" s="1">
        <f t="shared" si="8"/>
        <v>43140</v>
      </c>
      <c r="K15" s="1">
        <f t="shared" si="9"/>
        <v>14398.999999999998</v>
      </c>
      <c r="L15" s="1">
        <f t="shared" si="0"/>
        <v>17460</v>
      </c>
      <c r="M15" s="1">
        <f t="shared" si="10"/>
        <v>20830.818181818184</v>
      </c>
      <c r="N15" s="35">
        <f t="shared" si="11"/>
        <v>28741</v>
      </c>
      <c r="O15" s="35">
        <f t="shared" si="12"/>
        <v>43140</v>
      </c>
      <c r="P15" s="35">
        <f t="shared" si="13"/>
        <v>28741</v>
      </c>
      <c r="Q15" s="36">
        <f t="shared" si="14"/>
        <v>-18559.181818181816</v>
      </c>
      <c r="R15" s="37">
        <f t="shared" si="15"/>
        <v>39390</v>
      </c>
      <c r="S15" s="37">
        <f t="shared" si="16"/>
        <v>20830.818181818184</v>
      </c>
      <c r="AL15" s="24"/>
      <c r="AM15" s="2"/>
      <c r="AN15" s="2"/>
      <c r="AO15" s="2"/>
    </row>
    <row r="16" spans="1:41" ht="15">
      <c r="A16" s="33">
        <f t="shared" si="1"/>
        <v>3</v>
      </c>
      <c r="B16" s="34">
        <f t="shared" si="2"/>
        <v>1030301</v>
      </c>
      <c r="C16" s="1">
        <f t="shared" si="3"/>
        <v>61206</v>
      </c>
      <c r="D16" s="1">
        <v>50000</v>
      </c>
      <c r="E16" s="34">
        <f t="shared" si="4"/>
        <v>11206</v>
      </c>
      <c r="F16" s="1">
        <f t="shared" si="5"/>
        <v>21422.1</v>
      </c>
      <c r="G16" s="1">
        <f t="shared" si="17"/>
        <v>10181.818181818182</v>
      </c>
      <c r="H16" s="34">
        <f t="shared" si="6"/>
        <v>-34.28181818181656</v>
      </c>
      <c r="I16" s="1">
        <f t="shared" si="7"/>
        <v>744000</v>
      </c>
      <c r="J16" s="1">
        <f t="shared" si="8"/>
        <v>43030</v>
      </c>
      <c r="K16" s="1">
        <f t="shared" si="9"/>
        <v>14360.499999999998</v>
      </c>
      <c r="L16" s="1">
        <f t="shared" si="0"/>
        <v>-31824</v>
      </c>
      <c r="M16" s="1">
        <f t="shared" si="10"/>
        <v>-28703.781818181815</v>
      </c>
      <c r="N16" s="35">
        <f t="shared" si="11"/>
        <v>28669.5</v>
      </c>
      <c r="O16" s="35">
        <f t="shared" si="12"/>
        <v>43030</v>
      </c>
      <c r="P16" s="35">
        <f t="shared" si="13"/>
        <v>28669.5</v>
      </c>
      <c r="Q16" s="36">
        <f t="shared" si="14"/>
        <v>-18487.681818181816</v>
      </c>
      <c r="R16" s="37">
        <f t="shared" si="15"/>
        <v>-10216.099999999999</v>
      </c>
      <c r="S16" s="37">
        <f t="shared" si="16"/>
        <v>-28703.781818181815</v>
      </c>
      <c r="AL16" s="24"/>
      <c r="AM16" s="2"/>
      <c r="AN16" s="2"/>
      <c r="AO16" s="2"/>
    </row>
    <row r="17" spans="1:41" ht="15">
      <c r="A17" s="33">
        <f t="shared" si="1"/>
        <v>4</v>
      </c>
      <c r="B17" s="34">
        <f t="shared" si="2"/>
        <v>1040604.01</v>
      </c>
      <c r="C17" s="1">
        <f t="shared" si="3"/>
        <v>61818.06</v>
      </c>
      <c r="D17" s="1">
        <v>0</v>
      </c>
      <c r="E17" s="34">
        <f t="shared" si="4"/>
        <v>61818.06</v>
      </c>
      <c r="F17" s="1">
        <f t="shared" si="5"/>
        <v>21636.320999999996</v>
      </c>
      <c r="G17" s="1">
        <f t="shared" si="17"/>
        <v>10181.818181818182</v>
      </c>
      <c r="H17" s="34">
        <f t="shared" si="6"/>
        <v>50363.557181818185</v>
      </c>
      <c r="I17" s="1">
        <f t="shared" si="7"/>
        <v>742000</v>
      </c>
      <c r="J17" s="1">
        <f t="shared" si="8"/>
        <v>42920</v>
      </c>
      <c r="K17" s="1">
        <f t="shared" si="9"/>
        <v>14321.999999999998</v>
      </c>
      <c r="L17" s="1">
        <f t="shared" si="0"/>
        <v>18898.059999999998</v>
      </c>
      <c r="M17" s="1">
        <f t="shared" si="10"/>
        <v>21765.557181818185</v>
      </c>
      <c r="N17" s="35">
        <f t="shared" si="11"/>
        <v>28598</v>
      </c>
      <c r="O17" s="35">
        <f t="shared" si="12"/>
        <v>42920</v>
      </c>
      <c r="P17" s="35">
        <f t="shared" si="13"/>
        <v>28598</v>
      </c>
      <c r="Q17" s="36">
        <f t="shared" si="14"/>
        <v>-18416.181818181816</v>
      </c>
      <c r="R17" s="37">
        <f t="shared" si="15"/>
        <v>40181.739</v>
      </c>
      <c r="S17" s="37">
        <f t="shared" si="16"/>
        <v>21765.557181818185</v>
      </c>
      <c r="AL17" s="24"/>
      <c r="AM17" s="2"/>
      <c r="AN17" s="2"/>
      <c r="AO17" s="2"/>
    </row>
    <row r="18" spans="1:41" ht="15">
      <c r="A18" s="33">
        <f t="shared" si="1"/>
        <v>5</v>
      </c>
      <c r="B18" s="34">
        <f t="shared" si="2"/>
        <v>1051010.0501</v>
      </c>
      <c r="C18" s="1">
        <f t="shared" si="3"/>
        <v>62436.2406</v>
      </c>
      <c r="D18" s="1">
        <v>0</v>
      </c>
      <c r="E18" s="34">
        <f t="shared" si="4"/>
        <v>62436.2406</v>
      </c>
      <c r="F18" s="1">
        <f t="shared" si="5"/>
        <v>21852.68421</v>
      </c>
      <c r="G18" s="1">
        <f t="shared" si="17"/>
        <v>10181.818181818182</v>
      </c>
      <c r="H18" s="34">
        <f t="shared" si="6"/>
        <v>50765.37457181818</v>
      </c>
      <c r="I18" s="1">
        <f t="shared" si="7"/>
        <v>740000</v>
      </c>
      <c r="J18" s="1">
        <f t="shared" si="8"/>
        <v>42810</v>
      </c>
      <c r="K18" s="1">
        <f t="shared" si="9"/>
        <v>14283.499999999998</v>
      </c>
      <c r="L18" s="1">
        <f t="shared" si="0"/>
        <v>19626.240599999997</v>
      </c>
      <c r="M18" s="1">
        <f t="shared" si="10"/>
        <v>22238.87457181818</v>
      </c>
      <c r="N18" s="35">
        <f t="shared" si="11"/>
        <v>28526.5</v>
      </c>
      <c r="O18" s="35">
        <f t="shared" si="12"/>
        <v>42810</v>
      </c>
      <c r="P18" s="35">
        <f t="shared" si="13"/>
        <v>28526.5</v>
      </c>
      <c r="Q18" s="36">
        <f t="shared" si="14"/>
        <v>-18344.681818181816</v>
      </c>
      <c r="R18" s="37">
        <f t="shared" si="15"/>
        <v>40583.55639</v>
      </c>
      <c r="S18" s="37">
        <f t="shared" si="16"/>
        <v>22238.87457181818</v>
      </c>
      <c r="AL18" s="24"/>
      <c r="AM18" s="2"/>
      <c r="AN18" s="2"/>
      <c r="AO18" s="2"/>
    </row>
    <row r="19" spans="1:41" ht="15">
      <c r="A19" s="33">
        <f t="shared" si="1"/>
        <v>6</v>
      </c>
      <c r="B19" s="34">
        <f t="shared" si="2"/>
        <v>1061520.150601</v>
      </c>
      <c r="C19" s="1">
        <f t="shared" si="3"/>
        <v>63060.603006000005</v>
      </c>
      <c r="D19" s="1">
        <v>0</v>
      </c>
      <c r="E19" s="34">
        <f t="shared" si="4"/>
        <v>63060.603006000005</v>
      </c>
      <c r="F19" s="1">
        <f t="shared" si="5"/>
        <v>22071.2110521</v>
      </c>
      <c r="G19" s="1">
        <f t="shared" si="17"/>
        <v>10181.818181818182</v>
      </c>
      <c r="H19" s="34">
        <f t="shared" si="6"/>
        <v>51171.21013571819</v>
      </c>
      <c r="I19" s="1">
        <f t="shared" si="7"/>
        <v>738000</v>
      </c>
      <c r="J19" s="1">
        <f t="shared" si="8"/>
        <v>42700</v>
      </c>
      <c r="K19" s="1">
        <f t="shared" si="9"/>
        <v>14244.999999999998</v>
      </c>
      <c r="L19" s="1">
        <f t="shared" si="0"/>
        <v>20360.603006000005</v>
      </c>
      <c r="M19" s="1">
        <f t="shared" si="10"/>
        <v>22716.21013571819</v>
      </c>
      <c r="N19" s="35">
        <f t="shared" si="11"/>
        <v>28455</v>
      </c>
      <c r="O19" s="35">
        <f t="shared" si="12"/>
        <v>42700</v>
      </c>
      <c r="P19" s="35">
        <f t="shared" si="13"/>
        <v>28455</v>
      </c>
      <c r="Q19" s="36">
        <f t="shared" si="14"/>
        <v>-18273.181818181816</v>
      </c>
      <c r="R19" s="37">
        <f t="shared" si="15"/>
        <v>40989.391953900005</v>
      </c>
      <c r="S19" s="37">
        <f t="shared" si="16"/>
        <v>22716.21013571819</v>
      </c>
      <c r="W19" s="2"/>
      <c r="Y19" s="2"/>
      <c r="AA19" s="2"/>
      <c r="AL19" s="24"/>
      <c r="AM19" s="2"/>
      <c r="AN19" s="2"/>
      <c r="AO19" s="2"/>
    </row>
    <row r="20" spans="1:41" ht="15">
      <c r="A20" s="33">
        <f t="shared" si="1"/>
        <v>7</v>
      </c>
      <c r="B20" s="34">
        <f t="shared" si="2"/>
        <v>1072135.35210701</v>
      </c>
      <c r="C20" s="1">
        <f t="shared" si="3"/>
        <v>63691.20903606</v>
      </c>
      <c r="D20" s="1">
        <v>0</v>
      </c>
      <c r="E20" s="34">
        <f t="shared" si="4"/>
        <v>63691.20903606</v>
      </c>
      <c r="F20" s="1">
        <f t="shared" si="5"/>
        <v>22291.923162621</v>
      </c>
      <c r="G20" s="1">
        <f t="shared" si="17"/>
        <v>10181.818181818182</v>
      </c>
      <c r="H20" s="34">
        <f t="shared" si="6"/>
        <v>51581.10405525719</v>
      </c>
      <c r="I20" s="1">
        <f t="shared" si="7"/>
        <v>736000</v>
      </c>
      <c r="J20" s="1">
        <f t="shared" si="8"/>
        <v>42590</v>
      </c>
      <c r="K20" s="1">
        <f t="shared" si="9"/>
        <v>14206.499999999998</v>
      </c>
      <c r="L20" s="1">
        <f t="shared" si="0"/>
        <v>21101.209036059998</v>
      </c>
      <c r="M20" s="1">
        <f t="shared" si="10"/>
        <v>23197.604055257187</v>
      </c>
      <c r="N20" s="35">
        <f t="shared" si="11"/>
        <v>28383.5</v>
      </c>
      <c r="O20" s="35">
        <f t="shared" si="12"/>
        <v>42590</v>
      </c>
      <c r="P20" s="35">
        <f t="shared" si="13"/>
        <v>28383.5</v>
      </c>
      <c r="Q20" s="36">
        <f t="shared" si="14"/>
        <v>-18201.681818181816</v>
      </c>
      <c r="R20" s="37">
        <f t="shared" si="15"/>
        <v>41399.285873439</v>
      </c>
      <c r="S20" s="37">
        <f t="shared" si="16"/>
        <v>23197.604055257187</v>
      </c>
      <c r="T20" s="24"/>
      <c r="W20" s="24"/>
      <c r="X20" s="2"/>
      <c r="Y20" s="2"/>
      <c r="AB20" s="2"/>
      <c r="AL20" s="24"/>
      <c r="AM20" s="2"/>
      <c r="AN20" s="2"/>
      <c r="AO20" s="2"/>
    </row>
    <row r="21" spans="1:41" ht="15">
      <c r="A21" s="33">
        <f t="shared" si="1"/>
        <v>8</v>
      </c>
      <c r="B21" s="34">
        <f t="shared" si="2"/>
        <v>1082856.7056280803</v>
      </c>
      <c r="C21" s="1">
        <f t="shared" si="3"/>
        <v>64328.1211264206</v>
      </c>
      <c r="D21" s="1">
        <v>50000</v>
      </c>
      <c r="E21" s="34">
        <f t="shared" si="4"/>
        <v>14328.1211264206</v>
      </c>
      <c r="F21" s="1">
        <f t="shared" si="5"/>
        <v>22514.842394247207</v>
      </c>
      <c r="G21" s="1">
        <f t="shared" si="17"/>
        <v>10181.818181818182</v>
      </c>
      <c r="H21" s="34">
        <f t="shared" si="6"/>
        <v>1995.0969139915742</v>
      </c>
      <c r="I21" s="1">
        <f t="shared" si="7"/>
        <v>734000</v>
      </c>
      <c r="J21" s="1">
        <f t="shared" si="8"/>
        <v>42480</v>
      </c>
      <c r="K21" s="1">
        <f t="shared" si="9"/>
        <v>14167.999999999998</v>
      </c>
      <c r="L21" s="1">
        <f t="shared" si="0"/>
        <v>-28151.8788735794</v>
      </c>
      <c r="M21" s="1">
        <f t="shared" si="10"/>
        <v>-26316.903086008424</v>
      </c>
      <c r="N21" s="35">
        <f t="shared" si="11"/>
        <v>28312</v>
      </c>
      <c r="O21" s="35">
        <f t="shared" si="12"/>
        <v>42480</v>
      </c>
      <c r="P21" s="35">
        <f t="shared" si="13"/>
        <v>28312</v>
      </c>
      <c r="Q21" s="36">
        <f t="shared" si="14"/>
        <v>-18130.181818181816</v>
      </c>
      <c r="R21" s="37">
        <f t="shared" si="15"/>
        <v>-8186.721267826608</v>
      </c>
      <c r="S21" s="37">
        <f t="shared" si="16"/>
        <v>-26316.903086008424</v>
      </c>
      <c r="T21" s="24"/>
      <c r="W21" s="24"/>
      <c r="X21" s="2"/>
      <c r="Y21" s="2"/>
      <c r="AB21" s="2"/>
      <c r="AL21" s="24"/>
      <c r="AM21" s="2"/>
      <c r="AN21" s="2"/>
      <c r="AO21" s="2"/>
    </row>
    <row r="22" spans="1:41" ht="15">
      <c r="A22" s="33">
        <f t="shared" si="1"/>
        <v>9</v>
      </c>
      <c r="B22" s="34">
        <f t="shared" si="2"/>
        <v>1093685.272684361</v>
      </c>
      <c r="C22" s="1">
        <f t="shared" si="3"/>
        <v>64971.40233768481</v>
      </c>
      <c r="D22" s="1">
        <v>0</v>
      </c>
      <c r="E22" s="34">
        <f t="shared" si="4"/>
        <v>64971.40233768481</v>
      </c>
      <c r="F22" s="1">
        <f t="shared" si="5"/>
        <v>22739.990818189683</v>
      </c>
      <c r="G22" s="1">
        <f t="shared" si="17"/>
        <v>10181.818181818182</v>
      </c>
      <c r="H22" s="34">
        <f t="shared" si="6"/>
        <v>52413.229701313314</v>
      </c>
      <c r="I22" s="1">
        <f t="shared" si="7"/>
        <v>732000</v>
      </c>
      <c r="J22" s="1">
        <f t="shared" si="8"/>
        <v>42370</v>
      </c>
      <c r="K22" s="1">
        <f t="shared" si="9"/>
        <v>14129.499999999998</v>
      </c>
      <c r="L22" s="1">
        <f t="shared" si="0"/>
        <v>22601.402337684813</v>
      </c>
      <c r="M22" s="1">
        <f t="shared" si="10"/>
        <v>24172.729701313314</v>
      </c>
      <c r="N22" s="35">
        <f t="shared" si="11"/>
        <v>28240.5</v>
      </c>
      <c r="O22" s="35">
        <f t="shared" si="12"/>
        <v>42370</v>
      </c>
      <c r="P22" s="35">
        <f t="shared" si="13"/>
        <v>28240.5</v>
      </c>
      <c r="Q22" s="36">
        <f t="shared" si="14"/>
        <v>-18058.681818181816</v>
      </c>
      <c r="R22" s="37">
        <f t="shared" si="15"/>
        <v>42231.41151949513</v>
      </c>
      <c r="S22" s="37">
        <f t="shared" si="16"/>
        <v>24172.729701313314</v>
      </c>
      <c r="T22" s="24"/>
      <c r="W22" s="24"/>
      <c r="X22" s="2"/>
      <c r="Y22" s="2"/>
      <c r="AL22" s="24"/>
      <c r="AM22" s="2"/>
      <c r="AN22" s="2"/>
      <c r="AO22" s="2"/>
    </row>
    <row r="23" spans="1:41" ht="15">
      <c r="A23" s="33">
        <f t="shared" si="1"/>
        <v>10</v>
      </c>
      <c r="B23" s="34">
        <f t="shared" si="2"/>
        <v>1104622.1254112048</v>
      </c>
      <c r="C23" s="1">
        <f t="shared" si="3"/>
        <v>65621.11636106166</v>
      </c>
      <c r="D23" s="1">
        <v>0</v>
      </c>
      <c r="E23" s="34">
        <f>B23+C23-D23</f>
        <v>1170243.2417722663</v>
      </c>
      <c r="F23" s="1">
        <f>C$8*C23+G$8*(B23-(B13+SUM(D14:D23)))</f>
        <v>23660.709538052295</v>
      </c>
      <c r="G23" s="1">
        <f>B$13*($C$8*$G$6/$G$7-10*$G$9*$G$6/$G$7)</f>
        <v>-62545.454545454544</v>
      </c>
      <c r="H23" s="34">
        <f t="shared" si="6"/>
        <v>1084037.0776887594</v>
      </c>
      <c r="I23" s="1">
        <f t="shared" si="7"/>
        <v>730000</v>
      </c>
      <c r="J23" s="1">
        <f>$J$7*I22+I22</f>
        <v>772260</v>
      </c>
      <c r="K23" s="1">
        <f t="shared" si="9"/>
        <v>14090.999999999998</v>
      </c>
      <c r="L23" s="1">
        <f t="shared" si="0"/>
        <v>397983.24177226634</v>
      </c>
      <c r="M23" s="1">
        <f t="shared" si="10"/>
        <v>325868.0776887594</v>
      </c>
      <c r="N23" s="35">
        <f t="shared" si="11"/>
        <v>758169</v>
      </c>
      <c r="O23" s="35">
        <f t="shared" si="12"/>
        <v>772260</v>
      </c>
      <c r="P23" s="35">
        <f t="shared" si="13"/>
        <v>758169</v>
      </c>
      <c r="Q23" s="36">
        <f t="shared" si="14"/>
        <v>-820714.4545454546</v>
      </c>
      <c r="R23" s="37">
        <f t="shared" si="15"/>
        <v>1146582.532234214</v>
      </c>
      <c r="S23" s="37">
        <f t="shared" si="16"/>
        <v>325868.0776887594</v>
      </c>
      <c r="T23" s="24"/>
      <c r="W23" s="24"/>
      <c r="X23" s="2"/>
      <c r="Y23" s="2"/>
      <c r="AL23" s="24"/>
      <c r="AM23" s="2"/>
      <c r="AN23" s="2"/>
      <c r="AO23" s="2"/>
    </row>
    <row r="24" spans="13:41" ht="15">
      <c r="M24" s="1"/>
      <c r="AL24" s="24"/>
      <c r="AM24" s="2"/>
      <c r="AN24" s="2"/>
      <c r="AO24" s="2"/>
    </row>
    <row r="25" spans="1:41" ht="15">
      <c r="A25" s="20" t="s">
        <v>45</v>
      </c>
      <c r="D25" s="20"/>
      <c r="E25" s="20">
        <f>IRR(E13:E23,0.1)</f>
        <v>0.06042883175756719</v>
      </c>
      <c r="F25" s="20"/>
      <c r="G25" s="20"/>
      <c r="H25" s="20">
        <f>IRR(H13:H23,0.1)</f>
        <v>0.04756807620505432</v>
      </c>
      <c r="J25" s="20">
        <f>IRR(J13:J23,0.1)</f>
        <v>0.05499999999999994</v>
      </c>
      <c r="K25" s="20"/>
      <c r="L25" s="20">
        <f>IRR(L13:L23,0.1)</f>
        <v>0.07397085670193504</v>
      </c>
      <c r="M25" s="20">
        <f>IRR(M13:M23,0.1)</f>
        <v>0.06437605624343412</v>
      </c>
      <c r="N25" s="20">
        <f>J7*(1-C9)</f>
        <v>0.04125</v>
      </c>
      <c r="O25" s="20">
        <f>IRR(O13:O23,0.1)</f>
        <v>0.05499999999999994</v>
      </c>
      <c r="P25" s="20"/>
      <c r="Q25" s="20"/>
      <c r="R25" s="20">
        <f>IRR(R13:R23,0.1)</f>
        <v>0.047568076205058984</v>
      </c>
      <c r="S25" s="20"/>
      <c r="V25" s="38"/>
      <c r="AL25" s="24"/>
      <c r="AM25" s="2"/>
      <c r="AN25" s="2"/>
      <c r="AO25" s="2"/>
    </row>
    <row r="26" spans="2:41" ht="15">
      <c r="B26"/>
      <c r="C26"/>
      <c r="D26"/>
      <c r="E26"/>
      <c r="F26"/>
      <c r="G26"/>
      <c r="H26"/>
      <c r="J26"/>
      <c r="K26"/>
      <c r="L26"/>
      <c r="O26" s="2"/>
      <c r="P26" s="2"/>
      <c r="Q26" s="2"/>
      <c r="R26" s="2"/>
      <c r="S26" s="2"/>
      <c r="V26" s="38"/>
      <c r="W26" s="31"/>
      <c r="AN26" s="2"/>
      <c r="AO26" s="2"/>
    </row>
    <row r="27" spans="2:41" ht="15">
      <c r="B27"/>
      <c r="C27"/>
      <c r="D27"/>
      <c r="E27"/>
      <c r="F27"/>
      <c r="G27"/>
      <c r="H27"/>
      <c r="J27"/>
      <c r="K27"/>
      <c r="L27"/>
      <c r="O27" s="2"/>
      <c r="P27" s="2"/>
      <c r="Q27" s="2"/>
      <c r="R27" s="2"/>
      <c r="S27" s="2"/>
      <c r="T27" s="24"/>
      <c r="V27" s="24"/>
      <c r="W27" s="2"/>
      <c r="AN27" s="2"/>
      <c r="AO27" s="2"/>
    </row>
    <row r="28" spans="1:41" ht="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1"/>
      <c r="N28" s="51"/>
      <c r="O28" s="51"/>
      <c r="T28" s="24"/>
      <c r="V28" s="24"/>
      <c r="W28" s="2"/>
      <c r="AN28" s="2"/>
      <c r="AO28" s="2"/>
    </row>
    <row r="29" spans="1:41" ht="15">
      <c r="A29" s="51"/>
      <c r="B29" s="53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4"/>
      <c r="N29" s="54"/>
      <c r="O29" s="51"/>
      <c r="T29" s="24"/>
      <c r="V29" s="24"/>
      <c r="W29" s="2"/>
      <c r="AN29" s="2"/>
      <c r="AO29" s="2"/>
    </row>
    <row r="30" spans="1:41" ht="1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4"/>
      <c r="N30" s="54"/>
      <c r="O30" s="51"/>
      <c r="T30" s="24"/>
      <c r="V30" s="24"/>
      <c r="W30" s="2"/>
      <c r="AN30" s="2"/>
      <c r="AO30" s="2"/>
    </row>
    <row r="31" spans="1:41" ht="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1"/>
      <c r="N31" s="51"/>
      <c r="O31" s="51"/>
      <c r="T31" s="24"/>
      <c r="V31" s="24"/>
      <c r="W31" s="2"/>
      <c r="AN31" s="2"/>
      <c r="AO31" s="2"/>
    </row>
    <row r="32" spans="1:41" ht="15">
      <c r="A32" s="5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1"/>
      <c r="T32" s="24"/>
      <c r="V32" s="24"/>
      <c r="W32" s="2"/>
      <c r="AN32" s="2"/>
      <c r="AO32" s="2"/>
    </row>
    <row r="33" spans="1:41" ht="15">
      <c r="A33" s="54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2"/>
      <c r="N33" s="52"/>
      <c r="O33" s="51"/>
      <c r="T33" s="24"/>
      <c r="V33" s="24"/>
      <c r="W33" s="2"/>
      <c r="AN33" s="2"/>
      <c r="AO33" s="2"/>
    </row>
    <row r="34" spans="1:41" ht="15">
      <c r="A34" s="5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1"/>
      <c r="T34" s="24"/>
      <c r="V34" s="24"/>
      <c r="W34" s="2"/>
      <c r="AN34" s="2"/>
      <c r="AO34" s="2"/>
    </row>
    <row r="35" spans="1:41" ht="15">
      <c r="A35" s="5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1"/>
      <c r="T35" s="24"/>
      <c r="V35" s="24"/>
      <c r="W35" s="2"/>
      <c r="AN35" s="2"/>
      <c r="AO35" s="2"/>
    </row>
    <row r="36" spans="1:43" ht="15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2"/>
      <c r="N36" s="52"/>
      <c r="O36" s="51"/>
      <c r="T36" s="24"/>
      <c r="V36" s="24"/>
      <c r="W36" s="2"/>
      <c r="AN36" s="2"/>
      <c r="AO36" s="2"/>
      <c r="AP36" s="2"/>
      <c r="AQ36" s="24"/>
    </row>
    <row r="37" spans="1:43" ht="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1"/>
      <c r="T37" s="24"/>
      <c r="V37" s="24"/>
      <c r="W37" s="2"/>
      <c r="AN37" s="2"/>
      <c r="AO37" s="2"/>
      <c r="AP37" s="2"/>
      <c r="AQ37" s="24"/>
    </row>
    <row r="38" spans="1:44" ht="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1"/>
      <c r="T38" s="24"/>
      <c r="V38" s="24"/>
      <c r="W38" s="2"/>
      <c r="AN38" s="2"/>
      <c r="AO38" s="2"/>
      <c r="AR38" s="28"/>
    </row>
    <row r="39" spans="1:41" ht="15">
      <c r="A39" s="5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1"/>
      <c r="T39" s="24"/>
      <c r="V39" s="24"/>
      <c r="W39" s="2"/>
      <c r="AN39" s="2"/>
      <c r="AO39" s="2"/>
    </row>
    <row r="40" spans="1:41" ht="15">
      <c r="A40" s="54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2"/>
      <c r="N40" s="52"/>
      <c r="O40" s="51"/>
      <c r="T40" s="24"/>
      <c r="V40" s="24"/>
      <c r="W40" s="2"/>
      <c r="AN40" s="2"/>
      <c r="AO40" s="2"/>
    </row>
    <row r="41" spans="1:41" ht="15">
      <c r="A41" s="5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2"/>
      <c r="N41" s="52"/>
      <c r="O41" s="51"/>
      <c r="T41" s="24"/>
      <c r="V41" s="24"/>
      <c r="W41" s="2"/>
      <c r="AN41" s="2"/>
      <c r="AO41" s="2"/>
    </row>
    <row r="42" spans="1:41" ht="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/>
      <c r="T42" s="24"/>
      <c r="V42" s="24"/>
      <c r="W42" s="2"/>
      <c r="AN42" s="2"/>
      <c r="AO42" s="2"/>
    </row>
    <row r="43" spans="1:41" ht="15">
      <c r="A43" s="5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1"/>
      <c r="T43" s="24"/>
      <c r="V43" s="24"/>
      <c r="W43" s="2"/>
      <c r="AN43" s="2"/>
      <c r="AO43" s="2"/>
    </row>
    <row r="44" spans="1:41" ht="15">
      <c r="A44" s="5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2"/>
      <c r="N44" s="52"/>
      <c r="O44" s="51"/>
      <c r="T44" s="24"/>
      <c r="V44" s="24"/>
      <c r="W44" s="2"/>
      <c r="AN44" s="2"/>
      <c r="AO44" s="2"/>
    </row>
    <row r="45" spans="1:41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1"/>
      <c r="T45" s="24"/>
      <c r="V45" s="24"/>
      <c r="W45" s="2"/>
      <c r="AN45" s="2"/>
      <c r="AO45" s="2"/>
    </row>
    <row r="46" spans="1:41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/>
      <c r="T46" s="24"/>
      <c r="V46" s="24"/>
      <c r="W46" s="2"/>
      <c r="AN46" s="2"/>
      <c r="AO46" s="2"/>
    </row>
    <row r="47" spans="1:41" ht="22.5">
      <c r="A47" s="55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1"/>
      <c r="T47" s="24"/>
      <c r="V47" s="24"/>
      <c r="AN47" s="2"/>
      <c r="AO47" s="2"/>
    </row>
    <row r="48" spans="1:41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1"/>
      <c r="T48" s="24"/>
      <c r="V48" s="24"/>
      <c r="AN48" s="2"/>
      <c r="AO48" s="2"/>
    </row>
    <row r="49" spans="1:41" ht="15">
      <c r="A49" s="51"/>
      <c r="B49" s="52"/>
      <c r="C49" s="56"/>
      <c r="D49" s="52"/>
      <c r="E49" s="51"/>
      <c r="F49" s="53"/>
      <c r="G49" s="53"/>
      <c r="H49" s="51"/>
      <c r="I49" s="52"/>
      <c r="J49" s="52"/>
      <c r="K49" s="52"/>
      <c r="L49" s="52"/>
      <c r="M49" s="52"/>
      <c r="N49" s="52"/>
      <c r="O49" s="51"/>
      <c r="V49" s="24"/>
      <c r="AN49" s="2"/>
      <c r="AO49" s="2"/>
    </row>
    <row r="50" spans="1:41" ht="15">
      <c r="A50" s="51"/>
      <c r="B50" s="52"/>
      <c r="C50" s="52"/>
      <c r="D50" s="52"/>
      <c r="E50" s="53"/>
      <c r="F50" s="57"/>
      <c r="G50" s="57"/>
      <c r="H50" s="51"/>
      <c r="I50" s="52"/>
      <c r="J50" s="52"/>
      <c r="K50" s="52"/>
      <c r="L50" s="52"/>
      <c r="M50" s="52"/>
      <c r="N50" s="52"/>
      <c r="O50" s="51"/>
      <c r="AN50" s="2"/>
      <c r="AO50" s="2"/>
    </row>
    <row r="51" spans="1:41" ht="15">
      <c r="A51" s="51"/>
      <c r="B51" s="52"/>
      <c r="C51" s="57"/>
      <c r="D51" s="52"/>
      <c r="E51" s="53"/>
      <c r="F51" s="57"/>
      <c r="G51" s="57"/>
      <c r="H51" s="51"/>
      <c r="I51" s="52"/>
      <c r="J51" s="52"/>
      <c r="K51" s="52"/>
      <c r="L51" s="52"/>
      <c r="M51" s="52"/>
      <c r="N51" s="52"/>
      <c r="O51" s="51"/>
      <c r="AN51" s="2"/>
      <c r="AO51" s="2"/>
    </row>
    <row r="52" spans="1:41" ht="15">
      <c r="A52" s="51"/>
      <c r="B52" s="52"/>
      <c r="C52" s="57"/>
      <c r="D52" s="52"/>
      <c r="E52" s="53"/>
      <c r="F52" s="58"/>
      <c r="G52" s="58"/>
      <c r="H52" s="52"/>
      <c r="I52" s="52"/>
      <c r="J52" s="52"/>
      <c r="K52" s="52"/>
      <c r="L52" s="52"/>
      <c r="M52" s="52"/>
      <c r="N52" s="52"/>
      <c r="O52" s="51"/>
      <c r="AN52" s="2"/>
      <c r="AO52" s="2"/>
    </row>
    <row r="53" spans="1:41" ht="15">
      <c r="A53" s="51"/>
      <c r="B53" s="52"/>
      <c r="C53" s="57"/>
      <c r="D53" s="52"/>
      <c r="E53" s="52"/>
      <c r="F53" s="52"/>
      <c r="G53" s="52"/>
      <c r="H53" s="52"/>
      <c r="I53" s="52"/>
      <c r="J53" s="52"/>
      <c r="K53" s="52"/>
      <c r="L53" s="52"/>
      <c r="M53" s="51"/>
      <c r="N53" s="51"/>
      <c r="O53" s="51"/>
      <c r="AL53" s="1"/>
      <c r="AN53" s="2"/>
      <c r="AO53" s="2"/>
    </row>
    <row r="54" spans="1:41" ht="15">
      <c r="A54" s="52"/>
      <c r="B54" s="52"/>
      <c r="C54" s="52"/>
      <c r="D54" s="52"/>
      <c r="E54" s="52"/>
      <c r="F54" s="52"/>
      <c r="G54" s="52"/>
      <c r="H54" s="51"/>
      <c r="I54" s="52"/>
      <c r="J54" s="52"/>
      <c r="K54" s="52"/>
      <c r="L54" s="52"/>
      <c r="M54" s="51"/>
      <c r="N54" s="51"/>
      <c r="O54" s="51"/>
      <c r="AL54" s="1"/>
      <c r="AN54" s="24"/>
      <c r="AO54" s="24"/>
    </row>
    <row r="55" spans="1:41" ht="15">
      <c r="A55" s="51"/>
      <c r="B55" s="59"/>
      <c r="C55" s="52"/>
      <c r="D55" s="52"/>
      <c r="E55" s="52"/>
      <c r="F55" s="52"/>
      <c r="G55" s="52"/>
      <c r="H55" s="52"/>
      <c r="I55" s="52"/>
      <c r="J55" s="52"/>
      <c r="K55" s="53"/>
      <c r="L55" s="53"/>
      <c r="M55" s="53"/>
      <c r="N55" s="53"/>
      <c r="O55" s="51"/>
      <c r="AL55" s="1"/>
      <c r="AN55" s="2"/>
      <c r="AO55" s="2"/>
    </row>
    <row r="56" spans="1:41" ht="15">
      <c r="A56" s="51"/>
      <c r="B56" s="60"/>
      <c r="C56" s="60"/>
      <c r="D56" s="60"/>
      <c r="E56" s="60"/>
      <c r="F56" s="60"/>
      <c r="G56" s="60"/>
      <c r="H56" s="60"/>
      <c r="I56" s="60"/>
      <c r="J56" s="60"/>
      <c r="K56" s="53"/>
      <c r="L56" s="53"/>
      <c r="M56" s="53"/>
      <c r="N56" s="53"/>
      <c r="O56" s="51"/>
      <c r="AL56" s="1"/>
      <c r="AN56" s="24"/>
      <c r="AO56" s="24"/>
    </row>
    <row r="57" spans="1:41" ht="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1"/>
      <c r="AL57" s="1"/>
      <c r="AN57" s="2"/>
      <c r="AO57" s="2"/>
    </row>
    <row r="58" spans="1:41" ht="15">
      <c r="A58" s="5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2"/>
      <c r="N58" s="52"/>
      <c r="O58" s="51"/>
      <c r="AL58" s="1"/>
      <c r="AN58" s="2"/>
      <c r="AO58" s="2"/>
    </row>
    <row r="59" spans="1:42" ht="15">
      <c r="A59" s="5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2"/>
      <c r="N59" s="52"/>
      <c r="O59" s="51"/>
      <c r="AL59" s="1"/>
      <c r="AN59" s="24"/>
      <c r="AO59" s="2"/>
      <c r="AP59" s="24"/>
    </row>
    <row r="60" spans="1:42" ht="15">
      <c r="A60" s="5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1"/>
      <c r="AL60" s="1"/>
      <c r="AN60" s="24"/>
      <c r="AO60" s="2"/>
      <c r="AP60" s="24"/>
    </row>
    <row r="61" spans="1:42" ht="15">
      <c r="A61" s="5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2"/>
      <c r="N61" s="52"/>
      <c r="O61" s="51"/>
      <c r="AL61" s="1"/>
      <c r="AN61" s="24"/>
      <c r="AO61" s="2"/>
      <c r="AP61" s="24"/>
    </row>
    <row r="62" spans="1:41" ht="15">
      <c r="A62" s="5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2"/>
      <c r="N62" s="52"/>
      <c r="O62" s="51"/>
      <c r="AL62" s="1"/>
      <c r="AN62" s="2"/>
      <c r="AO62" s="2"/>
    </row>
    <row r="63" spans="1:43" ht="15">
      <c r="A63" s="5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2"/>
      <c r="N63" s="52"/>
      <c r="O63" s="51"/>
      <c r="AL63" s="1"/>
      <c r="AN63" s="24"/>
      <c r="AO63" s="2"/>
      <c r="AP63" s="24"/>
      <c r="AQ63" s="2"/>
    </row>
    <row r="64" spans="1:42" ht="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1"/>
      <c r="AL64" s="1"/>
      <c r="AN64" s="24"/>
      <c r="AO64" s="2"/>
      <c r="AP64" s="24"/>
    </row>
    <row r="65" spans="1:42" ht="1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1"/>
      <c r="AL65" s="1"/>
      <c r="AN65" s="24"/>
      <c r="AO65" s="2"/>
      <c r="AP65" s="24"/>
    </row>
    <row r="66" spans="1:42" ht="15">
      <c r="A66" s="54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1"/>
      <c r="AL66" s="1"/>
      <c r="AN66" s="24"/>
      <c r="AO66" s="2"/>
      <c r="AP66" s="24"/>
    </row>
    <row r="67" spans="1:42" ht="15">
      <c r="A67" s="5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2"/>
      <c r="N67" s="52"/>
      <c r="O67" s="51"/>
      <c r="AL67" s="1"/>
      <c r="AN67" s="2"/>
      <c r="AO67" s="2"/>
      <c r="AP67" s="24"/>
    </row>
    <row r="68" spans="1:41" ht="15">
      <c r="A68" s="54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  <c r="M68" s="52"/>
      <c r="N68" s="52"/>
      <c r="O68" s="51"/>
      <c r="AL68" s="1"/>
      <c r="AN68" s="2"/>
      <c r="AO68" s="2"/>
    </row>
    <row r="69" spans="1:41" ht="15">
      <c r="A69" s="54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2"/>
      <c r="N69" s="52"/>
      <c r="O69" s="51"/>
      <c r="AL69" s="1"/>
      <c r="AN69" s="2"/>
      <c r="AO69" s="2"/>
    </row>
    <row r="70" spans="1:41" ht="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1"/>
      <c r="AL70" s="1"/>
      <c r="AN70" s="2"/>
      <c r="AO70" s="2"/>
    </row>
    <row r="71" spans="1:41" ht="15">
      <c r="A71" s="5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2"/>
      <c r="N71" s="52"/>
      <c r="O71" s="51"/>
      <c r="AL71" s="1"/>
      <c r="AN71" s="2"/>
      <c r="AO71" s="2"/>
    </row>
    <row r="72" spans="1:41" ht="15">
      <c r="A72" s="54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2"/>
      <c r="N72" s="52"/>
      <c r="O72" s="51"/>
      <c r="AL72" s="1"/>
      <c r="AN72" s="2"/>
      <c r="AO72" s="2"/>
    </row>
    <row r="73" spans="1:41" ht="1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1"/>
      <c r="AL73" s="1"/>
      <c r="AN73" s="2"/>
      <c r="AO73" s="2"/>
    </row>
    <row r="74" spans="1:19" ht="1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1"/>
      <c r="Q74" s="1"/>
      <c r="R74" s="1"/>
      <c r="S74" s="1"/>
    </row>
    <row r="75" spans="1:15" ht="15">
      <c r="A75" s="52"/>
      <c r="B75" s="52"/>
      <c r="C75" s="52"/>
      <c r="D75" s="52"/>
      <c r="E75" s="52"/>
      <c r="F75" s="52"/>
      <c r="G75" s="52"/>
      <c r="H75" s="51"/>
      <c r="I75" s="52"/>
      <c r="J75" s="52"/>
      <c r="K75" s="52"/>
      <c r="L75" s="52"/>
      <c r="M75" s="51"/>
      <c r="N75" s="51"/>
      <c r="O75" s="51"/>
    </row>
    <row r="76" spans="1:15" ht="15">
      <c r="A76" s="51"/>
      <c r="B76" s="59"/>
      <c r="C76" s="52"/>
      <c r="D76" s="52"/>
      <c r="E76" s="52"/>
      <c r="F76" s="52"/>
      <c r="G76" s="52"/>
      <c r="H76" s="52"/>
      <c r="I76" s="52"/>
      <c r="J76" s="52"/>
      <c r="K76" s="53"/>
      <c r="L76" s="53"/>
      <c r="M76" s="54"/>
      <c r="N76" s="54"/>
      <c r="O76" s="51"/>
    </row>
    <row r="77" spans="1:15" ht="15">
      <c r="A77" s="51"/>
      <c r="B77" s="60"/>
      <c r="C77" s="60"/>
      <c r="D77" s="60"/>
      <c r="E77" s="60"/>
      <c r="F77" s="60"/>
      <c r="G77" s="60"/>
      <c r="H77" s="60"/>
      <c r="I77" s="60"/>
      <c r="J77" s="60"/>
      <c r="K77" s="53"/>
      <c r="L77" s="53"/>
      <c r="M77" s="54"/>
      <c r="N77" s="54"/>
      <c r="O77" s="51"/>
    </row>
    <row r="78" spans="1:15" ht="1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1"/>
    </row>
    <row r="79" spans="1:15" ht="15">
      <c r="A79" s="54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2"/>
      <c r="N79" s="52"/>
      <c r="O79" s="51"/>
    </row>
    <row r="80" spans="1:15" ht="15">
      <c r="A80" s="54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1"/>
    </row>
    <row r="81" spans="1:15" ht="15">
      <c r="A81" s="54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2"/>
      <c r="N81" s="52"/>
      <c r="O81" s="51"/>
    </row>
    <row r="82" spans="1:15" ht="15">
      <c r="A82" s="6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2"/>
      <c r="N82" s="52"/>
      <c r="O82" s="51"/>
    </row>
    <row r="83" spans="1:15" ht="15">
      <c r="A83" s="5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2"/>
      <c r="N83" s="52"/>
      <c r="O83" s="51"/>
    </row>
    <row r="84" spans="1:256" ht="15">
      <c r="A84" s="5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2"/>
      <c r="N84" s="52"/>
      <c r="O84" s="52"/>
      <c r="P84" s="1"/>
      <c r="Q84" s="1"/>
      <c r="R84" s="1"/>
      <c r="S84" s="1"/>
      <c r="T84" s="1"/>
      <c r="U84" s="20"/>
      <c r="V84" s="20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15" ht="15">
      <c r="A85" s="54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2"/>
      <c r="N85" s="52"/>
      <c r="O85" s="51"/>
    </row>
    <row r="86" spans="1:15" ht="15">
      <c r="A86" s="54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1"/>
    </row>
    <row r="87" spans="1:15" ht="15">
      <c r="A87" s="54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4"/>
      <c r="M87" s="52"/>
      <c r="N87" s="52"/>
      <c r="O87" s="51"/>
    </row>
    <row r="88" spans="1:15" ht="1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1"/>
      <c r="N88" s="51"/>
      <c r="O88" s="51"/>
    </row>
    <row r="89" spans="1:15" ht="1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1"/>
      <c r="N89" s="51"/>
      <c r="O89" s="51"/>
    </row>
    <row r="90" spans="1:15" ht="1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1"/>
      <c r="N90" s="51"/>
      <c r="O90" s="51"/>
    </row>
    <row r="91" spans="1:15" ht="1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1"/>
      <c r="N91" s="51"/>
      <c r="O91" s="51"/>
    </row>
    <row r="92" spans="1:15" ht="1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1"/>
      <c r="N92" s="51"/>
      <c r="O92" s="51"/>
    </row>
    <row r="93" spans="1:15" ht="1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1"/>
      <c r="N93" s="51"/>
      <c r="O93" s="51"/>
    </row>
    <row r="94" spans="1:15" ht="1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1"/>
      <c r="N94" s="51"/>
      <c r="O94" s="51"/>
    </row>
    <row r="95" spans="1:15" ht="1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1"/>
      <c r="N95" s="51"/>
      <c r="O95" s="51"/>
    </row>
    <row r="96" spans="1:15" ht="1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1"/>
      <c r="N96" s="51"/>
      <c r="O96" s="51"/>
    </row>
    <row r="97" spans="1:15" ht="1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1"/>
      <c r="N97" s="51"/>
      <c r="O97" s="51"/>
    </row>
    <row r="98" spans="1:15" ht="1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1"/>
      <c r="N98" s="51"/>
      <c r="O98" s="51"/>
    </row>
    <row r="99" spans="1:15" ht="1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1"/>
      <c r="N99" s="51"/>
      <c r="O99" s="51"/>
    </row>
    <row r="100" spans="1:15" ht="1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1"/>
      <c r="N100" s="51"/>
      <c r="O100" s="51"/>
    </row>
    <row r="101" spans="1:15" ht="1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1"/>
      <c r="N101" s="51"/>
      <c r="O101" s="51"/>
    </row>
    <row r="102" spans="1:15" ht="1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1"/>
      <c r="N102" s="51"/>
      <c r="O102" s="51"/>
    </row>
    <row r="103" spans="1:15" ht="1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1"/>
      <c r="N103" s="51"/>
      <c r="O103" s="51"/>
    </row>
    <row r="104" spans="1:15" ht="1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1"/>
      <c r="N104" s="51"/>
      <c r="O104" s="51"/>
    </row>
    <row r="105" spans="1:15" ht="1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1"/>
      <c r="N105" s="51"/>
      <c r="O105" s="51"/>
    </row>
    <row r="106" spans="1:15" ht="1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1"/>
      <c r="N106" s="51"/>
      <c r="O106" s="51"/>
    </row>
    <row r="107" spans="1:15" ht="1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1"/>
      <c r="O107" s="51"/>
    </row>
    <row r="108" spans="1:15" ht="1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1"/>
      <c r="N108" s="51"/>
      <c r="O108" s="51"/>
    </row>
    <row r="109" spans="1:15" ht="1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1"/>
      <c r="N109" s="51"/>
      <c r="O109" s="51"/>
    </row>
    <row r="110" spans="1:15" ht="1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1"/>
      <c r="N110" s="51"/>
      <c r="O110" s="51"/>
    </row>
    <row r="111" spans="1:15" ht="1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1"/>
      <c r="N111" s="51"/>
      <c r="O111" s="51"/>
    </row>
    <row r="112" spans="1:15" ht="1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1"/>
      <c r="N112" s="51"/>
      <c r="O112" s="51"/>
    </row>
    <row r="113" spans="1:15" ht="1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1"/>
      <c r="N113" s="51"/>
      <c r="O113" s="51"/>
    </row>
    <row r="114" spans="1:15" ht="1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1"/>
      <c r="N114" s="51"/>
      <c r="O114" s="51"/>
    </row>
    <row r="115" spans="1:15" ht="1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1"/>
      <c r="N115" s="51"/>
      <c r="O115" s="51"/>
    </row>
    <row r="116" spans="1:15" ht="1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1"/>
      <c r="N116" s="51"/>
      <c r="O116" s="51"/>
    </row>
    <row r="117" spans="1:15" ht="1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1"/>
      <c r="N117" s="51"/>
      <c r="O117" s="51"/>
    </row>
    <row r="118" spans="1:15" ht="1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1"/>
      <c r="N118" s="51"/>
      <c r="O118" s="51"/>
    </row>
    <row r="119" spans="1:15" ht="1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1"/>
      <c r="N119" s="51"/>
      <c r="O119" s="51"/>
    </row>
    <row r="120" spans="1:15" ht="1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1"/>
      <c r="N120" s="51"/>
      <c r="O120" s="51"/>
    </row>
    <row r="121" spans="1:15" ht="1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1"/>
      <c r="N121" s="51"/>
      <c r="O121" s="51"/>
    </row>
    <row r="122" spans="1:15" ht="1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1"/>
      <c r="N122" s="51"/>
      <c r="O122" s="51"/>
    </row>
    <row r="123" spans="1:15" ht="1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1"/>
      <c r="N123" s="51"/>
      <c r="O123" s="51"/>
    </row>
    <row r="8162" spans="2:12" ht="15">
      <c r="B8162"/>
      <c r="C8162"/>
      <c r="D8162"/>
      <c r="E8162"/>
      <c r="F8162"/>
      <c r="G8162"/>
      <c r="H8162"/>
      <c r="J8162"/>
      <c r="K8162"/>
      <c r="L8162"/>
    </row>
    <row r="8163" spans="2:12" ht="15">
      <c r="B8163"/>
      <c r="C8163"/>
      <c r="D8163"/>
      <c r="E8163"/>
      <c r="F8163"/>
      <c r="G8163"/>
      <c r="H8163"/>
      <c r="J8163"/>
      <c r="K8163"/>
      <c r="L8163"/>
    </row>
    <row r="8164" spans="2:12" ht="15">
      <c r="B8164"/>
      <c r="C8164"/>
      <c r="D8164"/>
      <c r="E8164"/>
      <c r="F8164"/>
      <c r="G8164"/>
      <c r="H8164"/>
      <c r="J8164"/>
      <c r="K8164"/>
      <c r="L8164"/>
    </row>
    <row r="8165" spans="2:12" ht="15">
      <c r="B8165"/>
      <c r="C8165"/>
      <c r="D8165"/>
      <c r="E8165"/>
      <c r="F8165"/>
      <c r="G8165"/>
      <c r="H8165"/>
      <c r="J8165"/>
      <c r="K8165"/>
      <c r="L8165"/>
    </row>
    <row r="8166" spans="2:12" ht="15">
      <c r="B8166"/>
      <c r="C8166"/>
      <c r="D8166"/>
      <c r="E8166"/>
      <c r="F8166"/>
      <c r="G8166"/>
      <c r="H8166"/>
      <c r="J8166"/>
      <c r="K8166"/>
      <c r="L8166"/>
    </row>
    <row r="8167" spans="2:12" ht="15">
      <c r="B8167"/>
      <c r="C8167"/>
      <c r="D8167"/>
      <c r="E8167"/>
      <c r="F8167"/>
      <c r="G8167"/>
      <c r="H8167"/>
      <c r="J8167"/>
      <c r="K8167"/>
      <c r="L8167"/>
    </row>
    <row r="8168" spans="2:12" ht="15">
      <c r="B8168"/>
      <c r="C8168"/>
      <c r="D8168"/>
      <c r="E8168"/>
      <c r="F8168"/>
      <c r="G8168"/>
      <c r="H8168"/>
      <c r="J8168"/>
      <c r="K8168"/>
      <c r="L8168"/>
    </row>
    <row r="8169" spans="2:12" ht="15">
      <c r="B8169"/>
      <c r="C8169"/>
      <c r="D8169"/>
      <c r="E8169"/>
      <c r="F8169"/>
      <c r="G8169"/>
      <c r="H8169"/>
      <c r="J8169"/>
      <c r="K8169"/>
      <c r="L8169"/>
    </row>
    <row r="8170" spans="2:12" ht="15">
      <c r="B8170"/>
      <c r="C8170"/>
      <c r="D8170"/>
      <c r="E8170"/>
      <c r="F8170"/>
      <c r="G8170"/>
      <c r="H8170"/>
      <c r="J8170"/>
      <c r="K8170"/>
      <c r="L8170"/>
    </row>
    <row r="8171" spans="2:12" ht="15">
      <c r="B8171"/>
      <c r="C8171"/>
      <c r="D8171"/>
      <c r="E8171"/>
      <c r="F8171"/>
      <c r="G8171"/>
      <c r="H8171"/>
      <c r="J8171"/>
      <c r="K8171"/>
      <c r="L8171"/>
    </row>
    <row r="8172" spans="2:12" ht="15">
      <c r="B8172"/>
      <c r="C8172"/>
      <c r="D8172"/>
      <c r="E8172"/>
      <c r="F8172"/>
      <c r="G8172"/>
      <c r="H8172"/>
      <c r="J8172"/>
      <c r="K8172"/>
      <c r="L8172"/>
    </row>
    <row r="8173" spans="2:12" ht="15">
      <c r="B8173"/>
      <c r="C8173"/>
      <c r="D8173"/>
      <c r="E8173"/>
      <c r="F8173"/>
      <c r="G8173"/>
      <c r="H8173"/>
      <c r="J8173"/>
      <c r="K8173"/>
      <c r="L8173"/>
    </row>
    <row r="8174" spans="2:12" ht="15">
      <c r="B8174"/>
      <c r="C8174"/>
      <c r="D8174"/>
      <c r="E8174"/>
      <c r="F8174"/>
      <c r="G8174"/>
      <c r="H8174"/>
      <c r="J8174"/>
      <c r="K8174"/>
      <c r="L8174"/>
    </row>
    <row r="8175" spans="2:12" ht="15">
      <c r="B8175"/>
      <c r="C8175"/>
      <c r="D8175"/>
      <c r="E8175"/>
      <c r="F8175"/>
      <c r="G8175"/>
      <c r="H8175"/>
      <c r="J8175"/>
      <c r="K8175"/>
      <c r="L8175"/>
    </row>
    <row r="8176" spans="2:12" ht="15">
      <c r="B8176"/>
      <c r="C8176"/>
      <c r="D8176"/>
      <c r="E8176"/>
      <c r="F8176"/>
      <c r="G8176"/>
      <c r="H8176"/>
      <c r="J8176"/>
      <c r="K8176"/>
      <c r="L8176"/>
    </row>
    <row r="8177" spans="2:12" ht="15">
      <c r="B8177"/>
      <c r="C8177"/>
      <c r="D8177"/>
      <c r="E8177"/>
      <c r="F8177"/>
      <c r="G8177"/>
      <c r="H8177"/>
      <c r="J8177"/>
      <c r="K8177"/>
      <c r="L8177"/>
    </row>
    <row r="8178" spans="2:12" ht="15">
      <c r="B8178"/>
      <c r="C8178"/>
      <c r="D8178"/>
      <c r="E8178"/>
      <c r="F8178"/>
      <c r="G8178"/>
      <c r="H8178"/>
      <c r="J8178"/>
      <c r="K8178"/>
      <c r="L8178"/>
    </row>
    <row r="8179" spans="2:12" ht="15">
      <c r="B8179"/>
      <c r="C8179"/>
      <c r="D8179"/>
      <c r="E8179"/>
      <c r="F8179"/>
      <c r="G8179"/>
      <c r="H8179"/>
      <c r="J8179"/>
      <c r="K8179"/>
      <c r="L8179"/>
    </row>
    <row r="8180" spans="2:12" ht="15">
      <c r="B8180"/>
      <c r="C8180"/>
      <c r="D8180"/>
      <c r="E8180"/>
      <c r="F8180"/>
      <c r="G8180"/>
      <c r="H8180"/>
      <c r="J8180"/>
      <c r="K8180"/>
      <c r="L8180"/>
    </row>
    <row r="8181" spans="2:12" ht="15">
      <c r="B8181"/>
      <c r="C8181"/>
      <c r="D8181"/>
      <c r="E8181"/>
      <c r="F8181"/>
      <c r="G8181"/>
      <c r="H8181"/>
      <c r="J8181"/>
      <c r="K8181"/>
      <c r="L8181"/>
    </row>
    <row r="8182" spans="2:12" ht="15">
      <c r="B8182"/>
      <c r="C8182"/>
      <c r="D8182"/>
      <c r="E8182"/>
      <c r="F8182"/>
      <c r="G8182"/>
      <c r="H8182"/>
      <c r="J8182"/>
      <c r="K8182"/>
      <c r="L8182"/>
    </row>
    <row r="8183" spans="2:12" ht="15">
      <c r="B8183"/>
      <c r="C8183"/>
      <c r="D8183"/>
      <c r="E8183"/>
      <c r="F8183"/>
      <c r="G8183"/>
      <c r="H8183"/>
      <c r="J8183"/>
      <c r="K8183"/>
      <c r="L8183"/>
    </row>
    <row r="8184" spans="2:12" ht="15">
      <c r="B8184"/>
      <c r="C8184"/>
      <c r="D8184"/>
      <c r="E8184"/>
      <c r="F8184"/>
      <c r="G8184"/>
      <c r="H8184"/>
      <c r="J8184"/>
      <c r="K8184"/>
      <c r="L8184"/>
    </row>
    <row r="8185" spans="2:12" ht="15">
      <c r="B8185"/>
      <c r="C8185"/>
      <c r="D8185"/>
      <c r="E8185"/>
      <c r="F8185"/>
      <c r="G8185"/>
      <c r="H8185"/>
      <c r="J8185"/>
      <c r="K8185"/>
      <c r="L8185"/>
    </row>
    <row r="8186" spans="2:12" ht="15">
      <c r="B8186"/>
      <c r="C8186"/>
      <c r="D8186"/>
      <c r="E8186"/>
      <c r="F8186"/>
      <c r="G8186"/>
      <c r="H8186"/>
      <c r="J8186"/>
      <c r="K8186"/>
      <c r="L8186"/>
    </row>
    <row r="8187" spans="2:12" ht="15">
      <c r="B8187"/>
      <c r="C8187"/>
      <c r="D8187"/>
      <c r="E8187"/>
      <c r="F8187"/>
      <c r="G8187"/>
      <c r="H8187"/>
      <c r="J8187"/>
      <c r="K8187"/>
      <c r="L8187"/>
    </row>
    <row r="8188" spans="2:12" ht="15">
      <c r="B8188"/>
      <c r="C8188"/>
      <c r="D8188"/>
      <c r="E8188"/>
      <c r="F8188"/>
      <c r="G8188"/>
      <c r="H8188"/>
      <c r="J8188"/>
      <c r="K8188"/>
      <c r="L8188"/>
    </row>
    <row r="8189" spans="2:12" ht="15">
      <c r="B8189"/>
      <c r="C8189"/>
      <c r="D8189"/>
      <c r="E8189"/>
      <c r="F8189"/>
      <c r="G8189"/>
      <c r="H8189"/>
      <c r="J8189"/>
      <c r="K8189"/>
      <c r="L8189"/>
    </row>
    <row r="8190" spans="2:12" ht="15">
      <c r="B8190"/>
      <c r="C8190"/>
      <c r="D8190"/>
      <c r="E8190"/>
      <c r="F8190"/>
      <c r="G8190"/>
      <c r="H8190"/>
      <c r="J8190"/>
      <c r="K8190"/>
      <c r="L8190"/>
    </row>
    <row r="8191" spans="2:12" ht="15">
      <c r="B8191"/>
      <c r="C8191"/>
      <c r="D8191"/>
      <c r="E8191"/>
      <c r="F8191"/>
      <c r="G8191"/>
      <c r="H8191"/>
      <c r="J8191"/>
      <c r="K8191"/>
      <c r="L8191"/>
    </row>
    <row r="8192" spans="2:12" ht="15">
      <c r="B8192"/>
      <c r="C8192"/>
      <c r="D8192"/>
      <c r="E8192"/>
      <c r="F8192"/>
      <c r="G8192"/>
      <c r="H8192"/>
      <c r="J8192"/>
      <c r="K8192"/>
      <c r="L8192"/>
    </row>
    <row r="8193" spans="2:12" ht="15">
      <c r="B8193"/>
      <c r="C8193"/>
      <c r="D8193"/>
      <c r="E8193"/>
      <c r="F8193"/>
      <c r="G8193"/>
      <c r="H8193"/>
      <c r="J8193"/>
      <c r="K8193"/>
      <c r="L8193"/>
    </row>
  </sheetData>
  <sheetProtection/>
  <printOptions/>
  <pageMargins left="0.5" right="0.5" top="0.5" bottom="0.55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193"/>
  <sheetViews>
    <sheetView defaultGridColor="0" zoomScale="50" zoomScaleNormal="50" zoomScalePageLayoutView="0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2" width="10.4453125" style="1" customWidth="1"/>
    <col min="3" max="3" width="10.21484375" style="1" customWidth="1"/>
    <col min="4" max="4" width="9.88671875" style="1" bestFit="1" customWidth="1"/>
    <col min="5" max="5" width="12.5546875" style="1" bestFit="1" customWidth="1"/>
    <col min="6" max="6" width="10.4453125" style="1" bestFit="1" customWidth="1"/>
    <col min="7" max="7" width="10.6640625" style="1" bestFit="1" customWidth="1"/>
    <col min="8" max="8" width="10.4453125" style="1" bestFit="1" customWidth="1"/>
    <col min="9" max="9" width="11.10546875" style="1" bestFit="1" customWidth="1"/>
    <col min="10" max="11" width="9.88671875" style="1" bestFit="1" customWidth="1"/>
    <col min="12" max="12" width="11.10546875" style="1" bestFit="1" customWidth="1"/>
    <col min="13" max="13" width="11.77734375" style="0" customWidth="1"/>
    <col min="14" max="14" width="13.77734375" style="0" customWidth="1"/>
    <col min="15" max="15" width="13.88671875" style="0" customWidth="1"/>
    <col min="16" max="16" width="11.21484375" style="0" customWidth="1"/>
    <col min="17" max="19" width="11.6640625" style="0" customWidth="1"/>
    <col min="20" max="20" width="9.77734375" style="0" customWidth="1"/>
    <col min="21" max="22" width="10.77734375" style="2" customWidth="1"/>
    <col min="23" max="23" width="9.77734375" style="0" customWidth="1"/>
    <col min="24" max="24" width="10.3359375" style="0" customWidth="1"/>
  </cols>
  <sheetData>
    <row r="1" spans="1:13" ht="21">
      <c r="A1" s="45" t="s">
        <v>157</v>
      </c>
      <c r="L1" s="3">
        <f>E5-I5</f>
        <v>272511.79004539386</v>
      </c>
      <c r="M1" s="4" t="s">
        <v>129</v>
      </c>
    </row>
    <row r="2" spans="12:41" ht="15">
      <c r="L2" s="3">
        <f>L1+J6-B13</f>
        <v>22511.790045393864</v>
      </c>
      <c r="M2" s="4" t="s">
        <v>130</v>
      </c>
      <c r="R2" t="s">
        <v>110</v>
      </c>
      <c r="S2" t="s">
        <v>111</v>
      </c>
      <c r="AN2" s="2"/>
      <c r="AO2" s="2"/>
    </row>
    <row r="3" spans="5:41" ht="18">
      <c r="E3" s="6" t="s">
        <v>112</v>
      </c>
      <c r="I3" s="46" t="s">
        <v>113</v>
      </c>
      <c r="L3" s="3">
        <f>L1+J6</f>
        <v>1022511.7900453939</v>
      </c>
      <c r="M3" s="4" t="s">
        <v>114</v>
      </c>
      <c r="R3" s="47">
        <f>-(H13+R5)</f>
        <v>0</v>
      </c>
      <c r="S3" s="5">
        <f>NPV(M25,S14:S23)</f>
        <v>270548.4650871778</v>
      </c>
      <c r="AN3" s="2"/>
      <c r="AO3" s="2"/>
    </row>
    <row r="4" spans="5:41" ht="15">
      <c r="E4" s="6" t="s">
        <v>131</v>
      </c>
      <c r="F4" s="6" t="s">
        <v>116</v>
      </c>
      <c r="G4" s="48" t="s">
        <v>110</v>
      </c>
      <c r="I4" s="8" t="s">
        <v>131</v>
      </c>
      <c r="J4" s="49" t="s">
        <v>117</v>
      </c>
      <c r="L4" s="3">
        <f>NPV(M25,M14:M23)</f>
        <v>270548.4650871778</v>
      </c>
      <c r="M4" s="4" t="s">
        <v>118</v>
      </c>
      <c r="Q4" t="s">
        <v>119</v>
      </c>
      <c r="R4" t="s">
        <v>120</v>
      </c>
      <c r="S4" t="s">
        <v>121</v>
      </c>
      <c r="AM4" s="2"/>
      <c r="AN4" s="2"/>
      <c r="AO4" s="2"/>
    </row>
    <row r="5" spans="1:41" ht="18">
      <c r="A5" s="10"/>
      <c r="B5" s="11"/>
      <c r="C5" s="11"/>
      <c r="D5" s="11"/>
      <c r="E5" s="12">
        <f>NPV(H25,H14:H23)</f>
        <v>1104713.546443993</v>
      </c>
      <c r="F5" s="12">
        <f>E5-B13</f>
        <v>104713.546443993</v>
      </c>
      <c r="G5" s="13">
        <f>NPV(N25,G14:G23)</f>
        <v>0</v>
      </c>
      <c r="H5" s="11"/>
      <c r="I5" s="14">
        <f>NPV(N25,N14:N23)</f>
        <v>832201.7563985991</v>
      </c>
      <c r="J5" s="46">
        <f>J6-I5</f>
        <v>-82201.75639859913</v>
      </c>
      <c r="K5" s="11"/>
      <c r="L5" s="3">
        <f>L4-(B13-J6)</f>
        <v>20548.465087177814</v>
      </c>
      <c r="M5" s="4" t="s">
        <v>132</v>
      </c>
      <c r="N5" s="50"/>
      <c r="O5" s="17"/>
      <c r="P5" s="10"/>
      <c r="Q5" s="18">
        <f>NPV(N25,Q14:Q23)</f>
        <v>-832201.7563985991</v>
      </c>
      <c r="R5" s="19">
        <f>NPV(H25,R14:R23)</f>
        <v>1104713.546443993</v>
      </c>
      <c r="S5" s="5">
        <f>SUM(Q5:R5)</f>
        <v>272511.79004539386</v>
      </c>
      <c r="AM5" s="2"/>
      <c r="AN5" s="2"/>
      <c r="AO5" s="2"/>
    </row>
    <row r="6" spans="1:41" ht="15">
      <c r="A6" t="s">
        <v>0</v>
      </c>
      <c r="C6" s="20">
        <v>0.01</v>
      </c>
      <c r="E6" s="1" t="s">
        <v>1</v>
      </c>
      <c r="G6" s="20">
        <v>0.8</v>
      </c>
      <c r="I6" s="21" t="s">
        <v>2</v>
      </c>
      <c r="J6" s="1">
        <v>750000</v>
      </c>
      <c r="L6" s="3">
        <f>B13+L5</f>
        <v>1020548.4650871778</v>
      </c>
      <c r="M6" s="4" t="s">
        <v>123</v>
      </c>
      <c r="T6" s="22"/>
      <c r="AM6" s="2"/>
      <c r="AN6" s="2"/>
      <c r="AO6" s="2"/>
    </row>
    <row r="7" spans="1:41" ht="15">
      <c r="A7" t="s">
        <v>3</v>
      </c>
      <c r="C7" s="20">
        <v>0.06</v>
      </c>
      <c r="E7" s="1" t="s">
        <v>4</v>
      </c>
      <c r="G7" s="23">
        <v>27.5</v>
      </c>
      <c r="H7" s="1" t="s">
        <v>5</v>
      </c>
      <c r="I7" s="21" t="s">
        <v>6</v>
      </c>
      <c r="J7" s="20">
        <v>0.055</v>
      </c>
      <c r="AL7" s="24"/>
      <c r="AM7" s="2"/>
      <c r="AN7" s="2"/>
      <c r="AO7" s="2"/>
    </row>
    <row r="8" spans="1:41" ht="15">
      <c r="A8" t="s">
        <v>7</v>
      </c>
      <c r="C8" s="20">
        <v>0</v>
      </c>
      <c r="E8" s="1" t="s">
        <v>8</v>
      </c>
      <c r="G8" s="20">
        <v>0</v>
      </c>
      <c r="I8" s="21" t="s">
        <v>9</v>
      </c>
      <c r="J8" s="1">
        <v>2000</v>
      </c>
      <c r="T8" s="25"/>
      <c r="U8" s="26"/>
      <c r="AL8" s="24"/>
      <c r="AM8" s="2"/>
      <c r="AN8" s="2"/>
      <c r="AO8" s="2"/>
    </row>
    <row r="9" spans="1:41" ht="15">
      <c r="A9" t="s">
        <v>124</v>
      </c>
      <c r="C9" s="20">
        <f>0.25</f>
        <v>0.25</v>
      </c>
      <c r="E9" s="1" t="s">
        <v>10</v>
      </c>
      <c r="G9" s="20">
        <v>0</v>
      </c>
      <c r="AL9" s="24"/>
      <c r="AM9" s="2"/>
      <c r="AN9" s="2"/>
      <c r="AO9" s="2"/>
    </row>
    <row r="10" spans="2:41" ht="15">
      <c r="B10" s="27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8" t="s">
        <v>23</v>
      </c>
      <c r="T10" s="29"/>
      <c r="AL10" s="24"/>
      <c r="AM10" s="2"/>
      <c r="AN10" s="2"/>
      <c r="AO10" s="2"/>
    </row>
    <row r="11" spans="6:41" ht="15">
      <c r="F11" s="21" t="s">
        <v>24</v>
      </c>
      <c r="H11" s="21" t="s">
        <v>25</v>
      </c>
      <c r="J11" s="21" t="s">
        <v>26</v>
      </c>
      <c r="L11" s="21" t="s">
        <v>27</v>
      </c>
      <c r="M11" s="21" t="s">
        <v>28</v>
      </c>
      <c r="N11" s="30" t="s">
        <v>29</v>
      </c>
      <c r="AL11" s="24"/>
      <c r="AM11" s="2"/>
      <c r="AN11" s="2"/>
      <c r="AO11" s="2"/>
    </row>
    <row r="12" spans="1:41" ht="15">
      <c r="A12" s="31" t="s">
        <v>30</v>
      </c>
      <c r="B12" s="21" t="s">
        <v>31</v>
      </c>
      <c r="C12" s="21" t="s">
        <v>32</v>
      </c>
      <c r="D12" s="21" t="s">
        <v>33</v>
      </c>
      <c r="E12" s="21" t="s">
        <v>34</v>
      </c>
      <c r="F12" s="21" t="s">
        <v>35</v>
      </c>
      <c r="G12" s="21" t="s">
        <v>36</v>
      </c>
      <c r="H12" s="21" t="s">
        <v>37</v>
      </c>
      <c r="I12" s="21" t="s">
        <v>38</v>
      </c>
      <c r="J12" s="21" t="s">
        <v>39</v>
      </c>
      <c r="K12" s="21" t="s">
        <v>40</v>
      </c>
      <c r="L12" s="21" t="s">
        <v>41</v>
      </c>
      <c r="M12" s="21" t="s">
        <v>42</v>
      </c>
      <c r="N12" s="21" t="s">
        <v>125</v>
      </c>
      <c r="P12" s="32" t="s">
        <v>126</v>
      </c>
      <c r="Q12" s="32" t="s">
        <v>127</v>
      </c>
      <c r="R12" s="32" t="s">
        <v>128</v>
      </c>
      <c r="S12" s="32" t="s">
        <v>44</v>
      </c>
      <c r="U12" s="26"/>
      <c r="AL12" s="24"/>
      <c r="AM12" s="2"/>
      <c r="AN12" s="2"/>
      <c r="AO12" s="2"/>
    </row>
    <row r="13" spans="1:41" ht="15">
      <c r="A13" s="33">
        <v>0</v>
      </c>
      <c r="B13" s="34">
        <v>1000000</v>
      </c>
      <c r="E13" s="34">
        <f>-B13</f>
        <v>-1000000</v>
      </c>
      <c r="H13" s="34">
        <f>-NPV(H25,H14:H23)</f>
        <v>-1104713.546443993</v>
      </c>
      <c r="I13" s="1">
        <f>J6</f>
        <v>750000</v>
      </c>
      <c r="J13" s="34">
        <f>-J6</f>
        <v>-750000</v>
      </c>
      <c r="L13" s="34">
        <f aca="true" t="shared" si="0" ref="L13:L23">E13-J13</f>
        <v>-250000</v>
      </c>
      <c r="M13" s="1">
        <f>-(B13-J6)</f>
        <v>-250000</v>
      </c>
      <c r="N13" s="35">
        <f>-NPV(N25,N14:N23)</f>
        <v>-832201.7563985991</v>
      </c>
      <c r="O13" s="35">
        <f>-(J6+E4)</f>
        <v>-750000</v>
      </c>
      <c r="P13" s="35"/>
      <c r="Q13" s="35">
        <f>-NPV(N25,Q14:Q23)</f>
        <v>832201.7563985991</v>
      </c>
      <c r="R13" s="35">
        <f>-NPV(H25,R14:R23)</f>
        <v>-1104713.546443993</v>
      </c>
      <c r="S13" s="35">
        <f>-NPV(M25,S14:S23)</f>
        <v>-270548.4650871778</v>
      </c>
      <c r="AL13" s="24"/>
      <c r="AM13" s="2"/>
      <c r="AN13" s="2"/>
      <c r="AO13" s="2"/>
    </row>
    <row r="14" spans="1:41" ht="15">
      <c r="A14" s="33">
        <f aca="true" t="shared" si="1" ref="A14:A23">1+A13</f>
        <v>1</v>
      </c>
      <c r="B14" s="34">
        <f aca="true" t="shared" si="2" ref="B14:B23">(1+C$6)*B13</f>
        <v>1010000</v>
      </c>
      <c r="C14" s="1">
        <f aca="true" t="shared" si="3" ref="C14:C23">C$7*B13</f>
        <v>60000</v>
      </c>
      <c r="D14" s="1">
        <v>0</v>
      </c>
      <c r="E14" s="34">
        <f aca="true" t="shared" si="4" ref="E14:E22">C14-D14</f>
        <v>60000</v>
      </c>
      <c r="F14" s="1">
        <f aca="true" t="shared" si="5" ref="F14:F22">C$8*C14</f>
        <v>0</v>
      </c>
      <c r="G14" s="1">
        <f>$B$13*$C$8*$G$6/$G$7</f>
        <v>0</v>
      </c>
      <c r="H14" s="34">
        <f aca="true" t="shared" si="6" ref="H14:H23">E14-F14+G14</f>
        <v>60000</v>
      </c>
      <c r="I14" s="1">
        <f aca="true" t="shared" si="7" ref="I14:I23">I13-$J$8</f>
        <v>748000</v>
      </c>
      <c r="J14" s="1">
        <f aca="true" t="shared" si="8" ref="J14:J22">$J$7*I13+$J$8</f>
        <v>43250</v>
      </c>
      <c r="K14" s="1">
        <f aca="true" t="shared" si="9" ref="K14:K23">C$8*I13*J$7</f>
        <v>0</v>
      </c>
      <c r="L14" s="1">
        <f t="shared" si="0"/>
        <v>16750</v>
      </c>
      <c r="M14" s="1">
        <f aca="true" t="shared" si="10" ref="M14:M23">H14-J14+K14</f>
        <v>16750</v>
      </c>
      <c r="N14" s="35">
        <f aca="true" t="shared" si="11" ref="N14:N23">J14-K14</f>
        <v>43250</v>
      </c>
      <c r="O14" s="35">
        <f aca="true" t="shared" si="12" ref="O14:O23">J14</f>
        <v>43250</v>
      </c>
      <c r="P14" s="35">
        <f aca="true" t="shared" si="13" ref="P14:P23">J14-K14</f>
        <v>43250</v>
      </c>
      <c r="Q14" s="36">
        <f aca="true" t="shared" si="14" ref="Q14:Q23">G14-P14</f>
        <v>-43250</v>
      </c>
      <c r="R14" s="37">
        <f aca="true" t="shared" si="15" ref="R14:R23">E14-F14</f>
        <v>60000</v>
      </c>
      <c r="S14" s="37">
        <f aca="true" t="shared" si="16" ref="S14:S23">SUM(Q14:R14)</f>
        <v>16750</v>
      </c>
      <c r="U14" s="26"/>
      <c r="AL14" s="24"/>
      <c r="AM14" s="2"/>
      <c r="AN14" s="2"/>
      <c r="AO14" s="2"/>
    </row>
    <row r="15" spans="1:41" ht="15">
      <c r="A15" s="33">
        <f t="shared" si="1"/>
        <v>2</v>
      </c>
      <c r="B15" s="34">
        <f t="shared" si="2"/>
        <v>1020100</v>
      </c>
      <c r="C15" s="1">
        <f t="shared" si="3"/>
        <v>60600</v>
      </c>
      <c r="D15" s="1">
        <v>0</v>
      </c>
      <c r="E15" s="34">
        <f t="shared" si="4"/>
        <v>60600</v>
      </c>
      <c r="F15" s="1">
        <f t="shared" si="5"/>
        <v>0</v>
      </c>
      <c r="G15" s="1">
        <f aca="true" t="shared" si="17" ref="G15:G22">B$13*C$8*G$6/G$7</f>
        <v>0</v>
      </c>
      <c r="H15" s="34">
        <f t="shared" si="6"/>
        <v>60600</v>
      </c>
      <c r="I15" s="1">
        <f t="shared" si="7"/>
        <v>746000</v>
      </c>
      <c r="J15" s="1">
        <f t="shared" si="8"/>
        <v>43140</v>
      </c>
      <c r="K15" s="1">
        <f t="shared" si="9"/>
        <v>0</v>
      </c>
      <c r="L15" s="1">
        <f t="shared" si="0"/>
        <v>17460</v>
      </c>
      <c r="M15" s="1">
        <f t="shared" si="10"/>
        <v>17460</v>
      </c>
      <c r="N15" s="35">
        <f t="shared" si="11"/>
        <v>43140</v>
      </c>
      <c r="O15" s="35">
        <f t="shared" si="12"/>
        <v>43140</v>
      </c>
      <c r="P15" s="35">
        <f t="shared" si="13"/>
        <v>43140</v>
      </c>
      <c r="Q15" s="36">
        <f t="shared" si="14"/>
        <v>-43140</v>
      </c>
      <c r="R15" s="37">
        <f t="shared" si="15"/>
        <v>60600</v>
      </c>
      <c r="S15" s="37">
        <f t="shared" si="16"/>
        <v>17460</v>
      </c>
      <c r="AL15" s="24"/>
      <c r="AM15" s="2"/>
      <c r="AN15" s="2"/>
      <c r="AO15" s="2"/>
    </row>
    <row r="16" spans="1:41" ht="15">
      <c r="A16" s="33">
        <f t="shared" si="1"/>
        <v>3</v>
      </c>
      <c r="B16" s="34">
        <f t="shared" si="2"/>
        <v>1030301</v>
      </c>
      <c r="C16" s="1">
        <f t="shared" si="3"/>
        <v>61206</v>
      </c>
      <c r="D16" s="1">
        <v>50000</v>
      </c>
      <c r="E16" s="34">
        <f t="shared" si="4"/>
        <v>11206</v>
      </c>
      <c r="F16" s="1">
        <f t="shared" si="5"/>
        <v>0</v>
      </c>
      <c r="G16" s="1">
        <f t="shared" si="17"/>
        <v>0</v>
      </c>
      <c r="H16" s="34">
        <f t="shared" si="6"/>
        <v>11206</v>
      </c>
      <c r="I16" s="1">
        <f t="shared" si="7"/>
        <v>744000</v>
      </c>
      <c r="J16" s="1">
        <f t="shared" si="8"/>
        <v>43030</v>
      </c>
      <c r="K16" s="1">
        <f t="shared" si="9"/>
        <v>0</v>
      </c>
      <c r="L16" s="1">
        <f t="shared" si="0"/>
        <v>-31824</v>
      </c>
      <c r="M16" s="1">
        <f t="shared" si="10"/>
        <v>-31824</v>
      </c>
      <c r="N16" s="35">
        <f t="shared" si="11"/>
        <v>43030</v>
      </c>
      <c r="O16" s="35">
        <f t="shared" si="12"/>
        <v>43030</v>
      </c>
      <c r="P16" s="35">
        <f t="shared" si="13"/>
        <v>43030</v>
      </c>
      <c r="Q16" s="36">
        <f t="shared" si="14"/>
        <v>-43030</v>
      </c>
      <c r="R16" s="37">
        <f t="shared" si="15"/>
        <v>11206</v>
      </c>
      <c r="S16" s="37">
        <f t="shared" si="16"/>
        <v>-31824</v>
      </c>
      <c r="AL16" s="24"/>
      <c r="AM16" s="2"/>
      <c r="AN16" s="2"/>
      <c r="AO16" s="2"/>
    </row>
    <row r="17" spans="1:41" ht="15">
      <c r="A17" s="33">
        <f t="shared" si="1"/>
        <v>4</v>
      </c>
      <c r="B17" s="34">
        <f t="shared" si="2"/>
        <v>1040604.01</v>
      </c>
      <c r="C17" s="1">
        <f t="shared" si="3"/>
        <v>61818.06</v>
      </c>
      <c r="D17" s="1">
        <v>0</v>
      </c>
      <c r="E17" s="34">
        <f t="shared" si="4"/>
        <v>61818.06</v>
      </c>
      <c r="F17" s="1">
        <f t="shared" si="5"/>
        <v>0</v>
      </c>
      <c r="G17" s="1">
        <f t="shared" si="17"/>
        <v>0</v>
      </c>
      <c r="H17" s="34">
        <f t="shared" si="6"/>
        <v>61818.06</v>
      </c>
      <c r="I17" s="1">
        <f t="shared" si="7"/>
        <v>742000</v>
      </c>
      <c r="J17" s="1">
        <f t="shared" si="8"/>
        <v>42920</v>
      </c>
      <c r="K17" s="1">
        <f t="shared" si="9"/>
        <v>0</v>
      </c>
      <c r="L17" s="1">
        <f t="shared" si="0"/>
        <v>18898.059999999998</v>
      </c>
      <c r="M17" s="1">
        <f t="shared" si="10"/>
        <v>18898.059999999998</v>
      </c>
      <c r="N17" s="35">
        <f t="shared" si="11"/>
        <v>42920</v>
      </c>
      <c r="O17" s="35">
        <f t="shared" si="12"/>
        <v>42920</v>
      </c>
      <c r="P17" s="35">
        <f t="shared" si="13"/>
        <v>42920</v>
      </c>
      <c r="Q17" s="36">
        <f t="shared" si="14"/>
        <v>-42920</v>
      </c>
      <c r="R17" s="37">
        <f t="shared" si="15"/>
        <v>61818.06</v>
      </c>
      <c r="S17" s="37">
        <f t="shared" si="16"/>
        <v>18898.059999999998</v>
      </c>
      <c r="AL17" s="24"/>
      <c r="AM17" s="2"/>
      <c r="AN17" s="2"/>
      <c r="AO17" s="2"/>
    </row>
    <row r="18" spans="1:41" ht="15">
      <c r="A18" s="33">
        <f t="shared" si="1"/>
        <v>5</v>
      </c>
      <c r="B18" s="34">
        <f t="shared" si="2"/>
        <v>1051010.0501</v>
      </c>
      <c r="C18" s="1">
        <f t="shared" si="3"/>
        <v>62436.2406</v>
      </c>
      <c r="D18" s="1">
        <v>0</v>
      </c>
      <c r="E18" s="34">
        <f t="shared" si="4"/>
        <v>62436.2406</v>
      </c>
      <c r="F18" s="1">
        <f t="shared" si="5"/>
        <v>0</v>
      </c>
      <c r="G18" s="1">
        <f t="shared" si="17"/>
        <v>0</v>
      </c>
      <c r="H18" s="34">
        <f t="shared" si="6"/>
        <v>62436.2406</v>
      </c>
      <c r="I18" s="1">
        <f t="shared" si="7"/>
        <v>740000</v>
      </c>
      <c r="J18" s="1">
        <f t="shared" si="8"/>
        <v>42810</v>
      </c>
      <c r="K18" s="1">
        <f t="shared" si="9"/>
        <v>0</v>
      </c>
      <c r="L18" s="1">
        <f t="shared" si="0"/>
        <v>19626.240599999997</v>
      </c>
      <c r="M18" s="1">
        <f t="shared" si="10"/>
        <v>19626.240599999997</v>
      </c>
      <c r="N18" s="35">
        <f t="shared" si="11"/>
        <v>42810</v>
      </c>
      <c r="O18" s="35">
        <f t="shared" si="12"/>
        <v>42810</v>
      </c>
      <c r="P18" s="35">
        <f t="shared" si="13"/>
        <v>42810</v>
      </c>
      <c r="Q18" s="36">
        <f t="shared" si="14"/>
        <v>-42810</v>
      </c>
      <c r="R18" s="37">
        <f t="shared" si="15"/>
        <v>62436.2406</v>
      </c>
      <c r="S18" s="37">
        <f t="shared" si="16"/>
        <v>19626.240599999997</v>
      </c>
      <c r="AL18" s="24"/>
      <c r="AM18" s="2"/>
      <c r="AN18" s="2"/>
      <c r="AO18" s="2"/>
    </row>
    <row r="19" spans="1:41" ht="15">
      <c r="A19" s="33">
        <f t="shared" si="1"/>
        <v>6</v>
      </c>
      <c r="B19" s="34">
        <f t="shared" si="2"/>
        <v>1061520.150601</v>
      </c>
      <c r="C19" s="1">
        <f t="shared" si="3"/>
        <v>63060.603006000005</v>
      </c>
      <c r="D19" s="1">
        <v>0</v>
      </c>
      <c r="E19" s="34">
        <f t="shared" si="4"/>
        <v>63060.603006000005</v>
      </c>
      <c r="F19" s="1">
        <f t="shared" si="5"/>
        <v>0</v>
      </c>
      <c r="G19" s="1">
        <f t="shared" si="17"/>
        <v>0</v>
      </c>
      <c r="H19" s="34">
        <f t="shared" si="6"/>
        <v>63060.603006000005</v>
      </c>
      <c r="I19" s="1">
        <f t="shared" si="7"/>
        <v>738000</v>
      </c>
      <c r="J19" s="1">
        <f t="shared" si="8"/>
        <v>42700</v>
      </c>
      <c r="K19" s="1">
        <f t="shared" si="9"/>
        <v>0</v>
      </c>
      <c r="L19" s="1">
        <f t="shared" si="0"/>
        <v>20360.603006000005</v>
      </c>
      <c r="M19" s="1">
        <f t="shared" si="10"/>
        <v>20360.603006000005</v>
      </c>
      <c r="N19" s="35">
        <f t="shared" si="11"/>
        <v>42700</v>
      </c>
      <c r="O19" s="35">
        <f t="shared" si="12"/>
        <v>42700</v>
      </c>
      <c r="P19" s="35">
        <f t="shared" si="13"/>
        <v>42700</v>
      </c>
      <c r="Q19" s="36">
        <f t="shared" si="14"/>
        <v>-42700</v>
      </c>
      <c r="R19" s="37">
        <f t="shared" si="15"/>
        <v>63060.603006000005</v>
      </c>
      <c r="S19" s="37">
        <f t="shared" si="16"/>
        <v>20360.603006000005</v>
      </c>
      <c r="W19" s="2"/>
      <c r="Y19" s="2"/>
      <c r="AA19" s="2"/>
      <c r="AL19" s="24"/>
      <c r="AM19" s="2"/>
      <c r="AN19" s="2"/>
      <c r="AO19" s="2"/>
    </row>
    <row r="20" spans="1:41" ht="15">
      <c r="A20" s="33">
        <f t="shared" si="1"/>
        <v>7</v>
      </c>
      <c r="B20" s="34">
        <f t="shared" si="2"/>
        <v>1072135.35210701</v>
      </c>
      <c r="C20" s="1">
        <f t="shared" si="3"/>
        <v>63691.20903606</v>
      </c>
      <c r="D20" s="1">
        <v>0</v>
      </c>
      <c r="E20" s="34">
        <f t="shared" si="4"/>
        <v>63691.20903606</v>
      </c>
      <c r="F20" s="1">
        <f t="shared" si="5"/>
        <v>0</v>
      </c>
      <c r="G20" s="1">
        <f t="shared" si="17"/>
        <v>0</v>
      </c>
      <c r="H20" s="34">
        <f t="shared" si="6"/>
        <v>63691.20903606</v>
      </c>
      <c r="I20" s="1">
        <f t="shared" si="7"/>
        <v>736000</v>
      </c>
      <c r="J20" s="1">
        <f t="shared" si="8"/>
        <v>42590</v>
      </c>
      <c r="K20" s="1">
        <f t="shared" si="9"/>
        <v>0</v>
      </c>
      <c r="L20" s="1">
        <f t="shared" si="0"/>
        <v>21101.209036059998</v>
      </c>
      <c r="M20" s="1">
        <f t="shared" si="10"/>
        <v>21101.209036059998</v>
      </c>
      <c r="N20" s="35">
        <f t="shared" si="11"/>
        <v>42590</v>
      </c>
      <c r="O20" s="35">
        <f t="shared" si="12"/>
        <v>42590</v>
      </c>
      <c r="P20" s="35">
        <f t="shared" si="13"/>
        <v>42590</v>
      </c>
      <c r="Q20" s="36">
        <f t="shared" si="14"/>
        <v>-42590</v>
      </c>
      <c r="R20" s="37">
        <f t="shared" si="15"/>
        <v>63691.20903606</v>
      </c>
      <c r="S20" s="37">
        <f t="shared" si="16"/>
        <v>21101.209036059998</v>
      </c>
      <c r="T20" s="24"/>
      <c r="W20" s="24"/>
      <c r="X20" s="2"/>
      <c r="Y20" s="2"/>
      <c r="AB20" s="2"/>
      <c r="AL20" s="24"/>
      <c r="AM20" s="2"/>
      <c r="AN20" s="2"/>
      <c r="AO20" s="2"/>
    </row>
    <row r="21" spans="1:41" ht="15">
      <c r="A21" s="33">
        <f t="shared" si="1"/>
        <v>8</v>
      </c>
      <c r="B21" s="34">
        <f t="shared" si="2"/>
        <v>1082856.7056280803</v>
      </c>
      <c r="C21" s="1">
        <f t="shared" si="3"/>
        <v>64328.1211264206</v>
      </c>
      <c r="D21" s="1">
        <v>50000</v>
      </c>
      <c r="E21" s="34">
        <f t="shared" si="4"/>
        <v>14328.1211264206</v>
      </c>
      <c r="F21" s="1">
        <f t="shared" si="5"/>
        <v>0</v>
      </c>
      <c r="G21" s="1">
        <f t="shared" si="17"/>
        <v>0</v>
      </c>
      <c r="H21" s="34">
        <f t="shared" si="6"/>
        <v>14328.1211264206</v>
      </c>
      <c r="I21" s="1">
        <f t="shared" si="7"/>
        <v>734000</v>
      </c>
      <c r="J21" s="1">
        <f t="shared" si="8"/>
        <v>42480</v>
      </c>
      <c r="K21" s="1">
        <f t="shared" si="9"/>
        <v>0</v>
      </c>
      <c r="L21" s="1">
        <f t="shared" si="0"/>
        <v>-28151.8788735794</v>
      </c>
      <c r="M21" s="1">
        <f t="shared" si="10"/>
        <v>-28151.8788735794</v>
      </c>
      <c r="N21" s="35">
        <f t="shared" si="11"/>
        <v>42480</v>
      </c>
      <c r="O21" s="35">
        <f t="shared" si="12"/>
        <v>42480</v>
      </c>
      <c r="P21" s="35">
        <f t="shared" si="13"/>
        <v>42480</v>
      </c>
      <c r="Q21" s="36">
        <f t="shared" si="14"/>
        <v>-42480</v>
      </c>
      <c r="R21" s="37">
        <f t="shared" si="15"/>
        <v>14328.1211264206</v>
      </c>
      <c r="S21" s="37">
        <f t="shared" si="16"/>
        <v>-28151.8788735794</v>
      </c>
      <c r="T21" s="24"/>
      <c r="W21" s="24"/>
      <c r="X21" s="2"/>
      <c r="Y21" s="2"/>
      <c r="AB21" s="2"/>
      <c r="AL21" s="24"/>
      <c r="AM21" s="2"/>
      <c r="AN21" s="2"/>
      <c r="AO21" s="2"/>
    </row>
    <row r="22" spans="1:41" ht="15">
      <c r="A22" s="33">
        <f t="shared" si="1"/>
        <v>9</v>
      </c>
      <c r="B22" s="34">
        <f t="shared" si="2"/>
        <v>1093685.272684361</v>
      </c>
      <c r="C22" s="1">
        <f t="shared" si="3"/>
        <v>64971.40233768481</v>
      </c>
      <c r="D22" s="1">
        <v>0</v>
      </c>
      <c r="E22" s="34">
        <f t="shared" si="4"/>
        <v>64971.40233768481</v>
      </c>
      <c r="F22" s="1">
        <f t="shared" si="5"/>
        <v>0</v>
      </c>
      <c r="G22" s="1">
        <f t="shared" si="17"/>
        <v>0</v>
      </c>
      <c r="H22" s="34">
        <f t="shared" si="6"/>
        <v>64971.40233768481</v>
      </c>
      <c r="I22" s="1">
        <f t="shared" si="7"/>
        <v>732000</v>
      </c>
      <c r="J22" s="1">
        <f t="shared" si="8"/>
        <v>42370</v>
      </c>
      <c r="K22" s="1">
        <f t="shared" si="9"/>
        <v>0</v>
      </c>
      <c r="L22" s="1">
        <f t="shared" si="0"/>
        <v>22601.402337684813</v>
      </c>
      <c r="M22" s="1">
        <f t="shared" si="10"/>
        <v>22601.402337684813</v>
      </c>
      <c r="N22" s="35">
        <f t="shared" si="11"/>
        <v>42370</v>
      </c>
      <c r="O22" s="35">
        <f t="shared" si="12"/>
        <v>42370</v>
      </c>
      <c r="P22" s="35">
        <f t="shared" si="13"/>
        <v>42370</v>
      </c>
      <c r="Q22" s="36">
        <f t="shared" si="14"/>
        <v>-42370</v>
      </c>
      <c r="R22" s="37">
        <f t="shared" si="15"/>
        <v>64971.40233768481</v>
      </c>
      <c r="S22" s="37">
        <f t="shared" si="16"/>
        <v>22601.402337684813</v>
      </c>
      <c r="T22" s="24"/>
      <c r="W22" s="24"/>
      <c r="X22" s="2"/>
      <c r="Y22" s="2"/>
      <c r="AL22" s="24"/>
      <c r="AM22" s="2"/>
      <c r="AN22" s="2"/>
      <c r="AO22" s="2"/>
    </row>
    <row r="23" spans="1:41" ht="15">
      <c r="A23" s="33">
        <f t="shared" si="1"/>
        <v>10</v>
      </c>
      <c r="B23" s="34">
        <f t="shared" si="2"/>
        <v>1104622.1254112048</v>
      </c>
      <c r="C23" s="1">
        <f t="shared" si="3"/>
        <v>65621.11636106166</v>
      </c>
      <c r="D23" s="1">
        <v>0</v>
      </c>
      <c r="E23" s="34">
        <f>B23+C23-D23</f>
        <v>1170243.2417722663</v>
      </c>
      <c r="F23" s="1">
        <f>C$8*C23+G$8*(B23-(B13+SUM(D14:D23)))</f>
        <v>0</v>
      </c>
      <c r="G23" s="1">
        <f>B$13*($C$8*$G$6/$G$7-10*$G$9*$G$6/$G$7)</f>
        <v>0</v>
      </c>
      <c r="H23" s="34">
        <f t="shared" si="6"/>
        <v>1170243.2417722663</v>
      </c>
      <c r="I23" s="1">
        <f t="shared" si="7"/>
        <v>730000</v>
      </c>
      <c r="J23" s="1">
        <f>$J$7*I22+I22</f>
        <v>772260</v>
      </c>
      <c r="K23" s="1">
        <f t="shared" si="9"/>
        <v>0</v>
      </c>
      <c r="L23" s="1">
        <f t="shared" si="0"/>
        <v>397983.24177226634</v>
      </c>
      <c r="M23" s="1">
        <f t="shared" si="10"/>
        <v>397983.24177226634</v>
      </c>
      <c r="N23" s="35">
        <f t="shared" si="11"/>
        <v>772260</v>
      </c>
      <c r="O23" s="35">
        <f t="shared" si="12"/>
        <v>772260</v>
      </c>
      <c r="P23" s="35">
        <f t="shared" si="13"/>
        <v>772260</v>
      </c>
      <c r="Q23" s="36">
        <f t="shared" si="14"/>
        <v>-772260</v>
      </c>
      <c r="R23" s="37">
        <f t="shared" si="15"/>
        <v>1170243.2417722663</v>
      </c>
      <c r="S23" s="37">
        <f t="shared" si="16"/>
        <v>397983.24177226634</v>
      </c>
      <c r="T23" s="24"/>
      <c r="W23" s="24"/>
      <c r="X23" s="2"/>
      <c r="Y23" s="2"/>
      <c r="AL23" s="24"/>
      <c r="AM23" s="2"/>
      <c r="AN23" s="2"/>
      <c r="AO23" s="2"/>
    </row>
    <row r="24" spans="13:41" ht="15">
      <c r="M24" s="1"/>
      <c r="AL24" s="24"/>
      <c r="AM24" s="2"/>
      <c r="AN24" s="2"/>
      <c r="AO24" s="2"/>
    </row>
    <row r="25" spans="1:41" ht="15">
      <c r="A25" s="20" t="s">
        <v>45</v>
      </c>
      <c r="D25" s="20"/>
      <c r="E25" s="20">
        <f>IRR(E13:E23,0.1)</f>
        <v>0.06042883175756719</v>
      </c>
      <c r="F25" s="20"/>
      <c r="G25" s="20"/>
      <c r="H25" s="20">
        <f>'14.3APVexmplMarginalInvestor'!H25</f>
        <v>0.04756807620505432</v>
      </c>
      <c r="J25" s="20">
        <f>IRR(J13:J23,0.1)</f>
        <v>0.05499999999999994</v>
      </c>
      <c r="K25" s="20"/>
      <c r="L25" s="20">
        <f>IRR(L13:L23,0.1)</f>
        <v>0.07397085670193504</v>
      </c>
      <c r="M25" s="20">
        <f>'14.3APVexmplMarginalInvestor'!M25</f>
        <v>0.06437605624343412</v>
      </c>
      <c r="N25" s="20">
        <f>J7*(1-C9)</f>
        <v>0.04125</v>
      </c>
      <c r="O25" s="20">
        <f>IRR(O13:O23,0.1)</f>
        <v>0.05499999999999994</v>
      </c>
      <c r="P25" s="20"/>
      <c r="Q25" s="20"/>
      <c r="R25" s="20">
        <f>IRR(R13:R23,0.1)</f>
        <v>0.04756807620505654</v>
      </c>
      <c r="S25" s="20"/>
      <c r="V25" s="38"/>
      <c r="AL25" s="24"/>
      <c r="AM25" s="2"/>
      <c r="AN25" s="2"/>
      <c r="AO25" s="2"/>
    </row>
    <row r="26" spans="2:41" ht="15">
      <c r="B26"/>
      <c r="C26"/>
      <c r="D26"/>
      <c r="E26"/>
      <c r="F26"/>
      <c r="G26"/>
      <c r="H26"/>
      <c r="J26"/>
      <c r="K26"/>
      <c r="L26"/>
      <c r="O26" s="2"/>
      <c r="P26" s="2"/>
      <c r="Q26" s="2"/>
      <c r="R26" s="2"/>
      <c r="S26" s="2"/>
      <c r="V26" s="38"/>
      <c r="W26" s="31"/>
      <c r="AN26" s="2"/>
      <c r="AO26" s="2"/>
    </row>
    <row r="27" spans="2:41" ht="15">
      <c r="B27"/>
      <c r="C27"/>
      <c r="D27"/>
      <c r="E27"/>
      <c r="F27"/>
      <c r="G27"/>
      <c r="H27"/>
      <c r="J27"/>
      <c r="K27"/>
      <c r="L27"/>
      <c r="O27" s="2"/>
      <c r="P27" s="2"/>
      <c r="Q27" s="2"/>
      <c r="R27" s="2"/>
      <c r="S27" s="2"/>
      <c r="T27" s="24"/>
      <c r="V27" s="24"/>
      <c r="W27" s="2"/>
      <c r="AN27" s="2"/>
      <c r="AO27" s="2"/>
    </row>
    <row r="28" spans="1:41" ht="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1"/>
      <c r="N28" s="51"/>
      <c r="O28" s="51"/>
      <c r="T28" s="24"/>
      <c r="V28" s="24"/>
      <c r="W28" s="2"/>
      <c r="AN28" s="2"/>
      <c r="AO28" s="2"/>
    </row>
    <row r="29" spans="1:41" ht="15">
      <c r="A29" s="51"/>
      <c r="B29" s="53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4"/>
      <c r="N29" s="54"/>
      <c r="O29" s="51"/>
      <c r="T29" s="24"/>
      <c r="V29" s="24"/>
      <c r="W29" s="2"/>
      <c r="AN29" s="2"/>
      <c r="AO29" s="2"/>
    </row>
    <row r="30" spans="1:41" ht="1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4"/>
      <c r="N30" s="54"/>
      <c r="O30" s="51"/>
      <c r="T30" s="24"/>
      <c r="V30" s="24"/>
      <c r="W30" s="2"/>
      <c r="AN30" s="2"/>
      <c r="AO30" s="2"/>
    </row>
    <row r="31" spans="1:41" ht="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1"/>
      <c r="N31" s="51"/>
      <c r="O31" s="51"/>
      <c r="T31" s="24"/>
      <c r="V31" s="24"/>
      <c r="W31" s="2"/>
      <c r="AN31" s="2"/>
      <c r="AO31" s="2"/>
    </row>
    <row r="32" spans="1:41" ht="15">
      <c r="A32" s="5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1"/>
      <c r="T32" s="24"/>
      <c r="V32" s="24"/>
      <c r="W32" s="2"/>
      <c r="AN32" s="2"/>
      <c r="AO32" s="2"/>
    </row>
    <row r="33" spans="1:41" ht="15">
      <c r="A33" s="54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2"/>
      <c r="N33" s="52"/>
      <c r="O33" s="51"/>
      <c r="T33" s="24"/>
      <c r="V33" s="24"/>
      <c r="W33" s="2"/>
      <c r="AN33" s="2"/>
      <c r="AO33" s="2"/>
    </row>
    <row r="34" spans="1:41" ht="15">
      <c r="A34" s="5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1"/>
      <c r="T34" s="24"/>
      <c r="V34" s="24"/>
      <c r="W34" s="2"/>
      <c r="AN34" s="2"/>
      <c r="AO34" s="2"/>
    </row>
    <row r="35" spans="1:41" ht="15">
      <c r="A35" s="5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1"/>
      <c r="T35" s="24"/>
      <c r="V35" s="24"/>
      <c r="W35" s="2"/>
      <c r="AN35" s="2"/>
      <c r="AO35" s="2"/>
    </row>
    <row r="36" spans="1:43" ht="15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2"/>
      <c r="N36" s="52"/>
      <c r="O36" s="51"/>
      <c r="T36" s="24"/>
      <c r="V36" s="24"/>
      <c r="W36" s="2"/>
      <c r="AN36" s="2"/>
      <c r="AO36" s="2"/>
      <c r="AP36" s="2"/>
      <c r="AQ36" s="24"/>
    </row>
    <row r="37" spans="1:43" ht="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1"/>
      <c r="T37" s="24"/>
      <c r="V37" s="24"/>
      <c r="W37" s="2"/>
      <c r="AN37" s="2"/>
      <c r="AO37" s="2"/>
      <c r="AP37" s="2"/>
      <c r="AQ37" s="24"/>
    </row>
    <row r="38" spans="1:44" ht="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1"/>
      <c r="T38" s="24"/>
      <c r="V38" s="24"/>
      <c r="W38" s="2"/>
      <c r="AN38" s="2"/>
      <c r="AO38" s="2"/>
      <c r="AR38" s="28"/>
    </row>
    <row r="39" spans="1:41" ht="15">
      <c r="A39" s="5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1"/>
      <c r="T39" s="24"/>
      <c r="V39" s="24"/>
      <c r="W39" s="2"/>
      <c r="AN39" s="2"/>
      <c r="AO39" s="2"/>
    </row>
    <row r="40" spans="1:41" ht="15">
      <c r="A40" s="54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2"/>
      <c r="N40" s="52"/>
      <c r="O40" s="51"/>
      <c r="T40" s="24"/>
      <c r="V40" s="24"/>
      <c r="W40" s="2"/>
      <c r="AN40" s="2"/>
      <c r="AO40" s="2"/>
    </row>
    <row r="41" spans="1:41" ht="15">
      <c r="A41" s="5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2"/>
      <c r="N41" s="52"/>
      <c r="O41" s="51"/>
      <c r="T41" s="24"/>
      <c r="V41" s="24"/>
      <c r="W41" s="2"/>
      <c r="AN41" s="2"/>
      <c r="AO41" s="2"/>
    </row>
    <row r="42" spans="1:41" ht="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/>
      <c r="T42" s="24"/>
      <c r="V42" s="24"/>
      <c r="W42" s="2"/>
      <c r="AN42" s="2"/>
      <c r="AO42" s="2"/>
    </row>
    <row r="43" spans="1:41" ht="15">
      <c r="A43" s="5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1"/>
      <c r="T43" s="24"/>
      <c r="V43" s="24"/>
      <c r="W43" s="2"/>
      <c r="AN43" s="2"/>
      <c r="AO43" s="2"/>
    </row>
    <row r="44" spans="1:41" ht="15">
      <c r="A44" s="5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2"/>
      <c r="N44" s="52"/>
      <c r="O44" s="51"/>
      <c r="T44" s="24"/>
      <c r="V44" s="24"/>
      <c r="W44" s="2"/>
      <c r="AN44" s="2"/>
      <c r="AO44" s="2"/>
    </row>
    <row r="45" spans="1:41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1"/>
      <c r="T45" s="24"/>
      <c r="V45" s="24"/>
      <c r="W45" s="2"/>
      <c r="AN45" s="2"/>
      <c r="AO45" s="2"/>
    </row>
    <row r="46" spans="1:41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/>
      <c r="T46" s="24"/>
      <c r="V46" s="24"/>
      <c r="W46" s="2"/>
      <c r="AN46" s="2"/>
      <c r="AO46" s="2"/>
    </row>
    <row r="47" spans="1:41" ht="22.5">
      <c r="A47" s="55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1"/>
      <c r="T47" s="24"/>
      <c r="V47" s="24"/>
      <c r="AN47" s="2"/>
      <c r="AO47" s="2"/>
    </row>
    <row r="48" spans="1:41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1"/>
      <c r="T48" s="24"/>
      <c r="V48" s="24"/>
      <c r="AN48" s="2"/>
      <c r="AO48" s="2"/>
    </row>
    <row r="49" spans="1:41" ht="15">
      <c r="A49" s="51"/>
      <c r="B49" s="52"/>
      <c r="C49" s="56"/>
      <c r="D49" s="52"/>
      <c r="E49" s="51"/>
      <c r="F49" s="53"/>
      <c r="G49" s="53"/>
      <c r="H49" s="51"/>
      <c r="I49" s="52"/>
      <c r="J49" s="52"/>
      <c r="K49" s="52"/>
      <c r="L49" s="52"/>
      <c r="M49" s="52"/>
      <c r="N49" s="52"/>
      <c r="O49" s="51"/>
      <c r="V49" s="24"/>
      <c r="AN49" s="2"/>
      <c r="AO49" s="2"/>
    </row>
    <row r="50" spans="1:41" ht="15">
      <c r="A50" s="51"/>
      <c r="B50" s="52"/>
      <c r="C50" s="52"/>
      <c r="D50" s="52"/>
      <c r="E50" s="53"/>
      <c r="F50" s="57"/>
      <c r="G50" s="57"/>
      <c r="H50" s="51"/>
      <c r="I50" s="52"/>
      <c r="J50" s="52"/>
      <c r="K50" s="52"/>
      <c r="L50" s="52"/>
      <c r="M50" s="52"/>
      <c r="N50" s="52"/>
      <c r="O50" s="51"/>
      <c r="AN50" s="2"/>
      <c r="AO50" s="2"/>
    </row>
    <row r="51" spans="1:41" ht="15">
      <c r="A51" s="51"/>
      <c r="B51" s="52"/>
      <c r="C51" s="57"/>
      <c r="D51" s="52"/>
      <c r="E51" s="53"/>
      <c r="F51" s="57"/>
      <c r="G51" s="57"/>
      <c r="H51" s="51"/>
      <c r="I51" s="52"/>
      <c r="J51" s="52"/>
      <c r="K51" s="52"/>
      <c r="L51" s="52"/>
      <c r="M51" s="52"/>
      <c r="N51" s="52"/>
      <c r="O51" s="51"/>
      <c r="AN51" s="2"/>
      <c r="AO51" s="2"/>
    </row>
    <row r="52" spans="1:41" ht="15">
      <c r="A52" s="51"/>
      <c r="B52" s="52"/>
      <c r="C52" s="57"/>
      <c r="D52" s="52"/>
      <c r="E52" s="53"/>
      <c r="F52" s="58"/>
      <c r="G52" s="58"/>
      <c r="H52" s="52"/>
      <c r="I52" s="52"/>
      <c r="J52" s="52"/>
      <c r="K52" s="52"/>
      <c r="L52" s="52"/>
      <c r="M52" s="52"/>
      <c r="N52" s="52"/>
      <c r="O52" s="51"/>
      <c r="AN52" s="2"/>
      <c r="AO52" s="2"/>
    </row>
    <row r="53" spans="1:41" ht="15">
      <c r="A53" s="51"/>
      <c r="B53" s="52"/>
      <c r="C53" s="57"/>
      <c r="D53" s="52"/>
      <c r="E53" s="52"/>
      <c r="F53" s="52"/>
      <c r="G53" s="52"/>
      <c r="H53" s="52"/>
      <c r="I53" s="52"/>
      <c r="J53" s="52"/>
      <c r="K53" s="52"/>
      <c r="L53" s="52"/>
      <c r="M53" s="51"/>
      <c r="N53" s="51"/>
      <c r="O53" s="51"/>
      <c r="AL53" s="1"/>
      <c r="AN53" s="2"/>
      <c r="AO53" s="2"/>
    </row>
    <row r="54" spans="1:41" ht="15">
      <c r="A54" s="52"/>
      <c r="B54" s="52"/>
      <c r="C54" s="52"/>
      <c r="D54" s="52"/>
      <c r="E54" s="52"/>
      <c r="F54" s="52"/>
      <c r="G54" s="52"/>
      <c r="H54" s="51"/>
      <c r="I54" s="52"/>
      <c r="J54" s="52"/>
      <c r="K54" s="52"/>
      <c r="L54" s="52"/>
      <c r="M54" s="51"/>
      <c r="N54" s="51"/>
      <c r="O54" s="51"/>
      <c r="AL54" s="1"/>
      <c r="AN54" s="24"/>
      <c r="AO54" s="24"/>
    </row>
    <row r="55" spans="1:41" ht="15">
      <c r="A55" s="51"/>
      <c r="B55" s="59"/>
      <c r="C55" s="52"/>
      <c r="D55" s="52"/>
      <c r="E55" s="52"/>
      <c r="F55" s="52"/>
      <c r="G55" s="52"/>
      <c r="H55" s="52"/>
      <c r="I55" s="52"/>
      <c r="J55" s="52"/>
      <c r="K55" s="53"/>
      <c r="L55" s="53"/>
      <c r="M55" s="53"/>
      <c r="N55" s="53"/>
      <c r="O55" s="51"/>
      <c r="AL55" s="1"/>
      <c r="AN55" s="2"/>
      <c r="AO55" s="2"/>
    </row>
    <row r="56" spans="1:41" ht="15">
      <c r="A56" s="51"/>
      <c r="B56" s="60"/>
      <c r="C56" s="60"/>
      <c r="D56" s="60"/>
      <c r="E56" s="60"/>
      <c r="F56" s="60"/>
      <c r="G56" s="60"/>
      <c r="H56" s="60"/>
      <c r="I56" s="60"/>
      <c r="J56" s="60"/>
      <c r="K56" s="53"/>
      <c r="L56" s="53"/>
      <c r="M56" s="53"/>
      <c r="N56" s="53"/>
      <c r="O56" s="51"/>
      <c r="AL56" s="1"/>
      <c r="AN56" s="24"/>
      <c r="AO56" s="24"/>
    </row>
    <row r="57" spans="1:41" ht="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1"/>
      <c r="AL57" s="1"/>
      <c r="AN57" s="2"/>
      <c r="AO57" s="2"/>
    </row>
    <row r="58" spans="1:41" ht="15">
      <c r="A58" s="5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2"/>
      <c r="N58" s="52"/>
      <c r="O58" s="51"/>
      <c r="AL58" s="1"/>
      <c r="AN58" s="2"/>
      <c r="AO58" s="2"/>
    </row>
    <row r="59" spans="1:42" ht="15">
      <c r="A59" s="5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2"/>
      <c r="N59" s="52"/>
      <c r="O59" s="51"/>
      <c r="AL59" s="1"/>
      <c r="AN59" s="24"/>
      <c r="AO59" s="2"/>
      <c r="AP59" s="24"/>
    </row>
    <row r="60" spans="1:42" ht="15">
      <c r="A60" s="5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1"/>
      <c r="AL60" s="1"/>
      <c r="AN60" s="24"/>
      <c r="AO60" s="2"/>
      <c r="AP60" s="24"/>
    </row>
    <row r="61" spans="1:42" ht="15">
      <c r="A61" s="5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2"/>
      <c r="N61" s="52"/>
      <c r="O61" s="51"/>
      <c r="AL61" s="1"/>
      <c r="AN61" s="24"/>
      <c r="AO61" s="2"/>
      <c r="AP61" s="24"/>
    </row>
    <row r="62" spans="1:41" ht="15">
      <c r="A62" s="5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2"/>
      <c r="N62" s="52"/>
      <c r="O62" s="51"/>
      <c r="AL62" s="1"/>
      <c r="AN62" s="2"/>
      <c r="AO62" s="2"/>
    </row>
    <row r="63" spans="1:43" ht="15">
      <c r="A63" s="5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2"/>
      <c r="N63" s="52"/>
      <c r="O63" s="51"/>
      <c r="AL63" s="1"/>
      <c r="AN63" s="24"/>
      <c r="AO63" s="2"/>
      <c r="AP63" s="24"/>
      <c r="AQ63" s="2"/>
    </row>
    <row r="64" spans="1:42" ht="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1"/>
      <c r="AL64" s="1"/>
      <c r="AN64" s="24"/>
      <c r="AO64" s="2"/>
      <c r="AP64" s="24"/>
    </row>
    <row r="65" spans="1:42" ht="1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1"/>
      <c r="AL65" s="1"/>
      <c r="AN65" s="24"/>
      <c r="AO65" s="2"/>
      <c r="AP65" s="24"/>
    </row>
    <row r="66" spans="1:42" ht="15">
      <c r="A66" s="54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1"/>
      <c r="AL66" s="1"/>
      <c r="AN66" s="24"/>
      <c r="AO66" s="2"/>
      <c r="AP66" s="24"/>
    </row>
    <row r="67" spans="1:42" ht="15">
      <c r="A67" s="5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2"/>
      <c r="N67" s="52"/>
      <c r="O67" s="51"/>
      <c r="AL67" s="1"/>
      <c r="AN67" s="2"/>
      <c r="AO67" s="2"/>
      <c r="AP67" s="24"/>
    </row>
    <row r="68" spans="1:41" ht="15">
      <c r="A68" s="54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  <c r="M68" s="52"/>
      <c r="N68" s="52"/>
      <c r="O68" s="51"/>
      <c r="AL68" s="1"/>
      <c r="AN68" s="2"/>
      <c r="AO68" s="2"/>
    </row>
    <row r="69" spans="1:41" ht="15">
      <c r="A69" s="54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2"/>
      <c r="N69" s="52"/>
      <c r="O69" s="51"/>
      <c r="AL69" s="1"/>
      <c r="AN69" s="2"/>
      <c r="AO69" s="2"/>
    </row>
    <row r="70" spans="1:41" ht="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1"/>
      <c r="AL70" s="1"/>
      <c r="AN70" s="2"/>
      <c r="AO70" s="2"/>
    </row>
    <row r="71" spans="1:41" ht="15">
      <c r="A71" s="5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2"/>
      <c r="N71" s="52"/>
      <c r="O71" s="51"/>
      <c r="AL71" s="1"/>
      <c r="AN71" s="2"/>
      <c r="AO71" s="2"/>
    </row>
    <row r="72" spans="1:41" ht="15">
      <c r="A72" s="54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2"/>
      <c r="N72" s="52"/>
      <c r="O72" s="51"/>
      <c r="AL72" s="1"/>
      <c r="AN72" s="2"/>
      <c r="AO72" s="2"/>
    </row>
    <row r="73" spans="1:41" ht="1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1"/>
      <c r="AL73" s="1"/>
      <c r="AN73" s="2"/>
      <c r="AO73" s="2"/>
    </row>
    <row r="74" spans="1:19" ht="1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1"/>
      <c r="Q74" s="1"/>
      <c r="R74" s="1"/>
      <c r="S74" s="1"/>
    </row>
    <row r="75" spans="1:15" ht="15">
      <c r="A75" s="52"/>
      <c r="B75" s="52"/>
      <c r="C75" s="52"/>
      <c r="D75" s="52"/>
      <c r="E75" s="52"/>
      <c r="F75" s="52"/>
      <c r="G75" s="52"/>
      <c r="H75" s="51"/>
      <c r="I75" s="52"/>
      <c r="J75" s="52"/>
      <c r="K75" s="52"/>
      <c r="L75" s="52"/>
      <c r="M75" s="51"/>
      <c r="N75" s="51"/>
      <c r="O75" s="51"/>
    </row>
    <row r="76" spans="1:15" ht="15">
      <c r="A76" s="51"/>
      <c r="B76" s="59"/>
      <c r="C76" s="52"/>
      <c r="D76" s="52"/>
      <c r="E76" s="52"/>
      <c r="F76" s="52"/>
      <c r="G76" s="52"/>
      <c r="H76" s="52"/>
      <c r="I76" s="52"/>
      <c r="J76" s="52"/>
      <c r="K76" s="53"/>
      <c r="L76" s="53"/>
      <c r="M76" s="54"/>
      <c r="N76" s="54"/>
      <c r="O76" s="51"/>
    </row>
    <row r="77" spans="1:15" ht="15">
      <c r="A77" s="51"/>
      <c r="B77" s="60"/>
      <c r="C77" s="60"/>
      <c r="D77" s="60"/>
      <c r="E77" s="60"/>
      <c r="F77" s="60"/>
      <c r="G77" s="60"/>
      <c r="H77" s="60"/>
      <c r="I77" s="60"/>
      <c r="J77" s="60"/>
      <c r="K77" s="53"/>
      <c r="L77" s="53"/>
      <c r="M77" s="54"/>
      <c r="N77" s="54"/>
      <c r="O77" s="51"/>
    </row>
    <row r="78" spans="1:15" ht="1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1"/>
    </row>
    <row r="79" spans="1:15" ht="15">
      <c r="A79" s="54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2"/>
      <c r="N79" s="52"/>
      <c r="O79" s="51"/>
    </row>
    <row r="80" spans="1:15" ht="15">
      <c r="A80" s="54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1"/>
    </row>
    <row r="81" spans="1:15" ht="15">
      <c r="A81" s="54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2"/>
      <c r="N81" s="52"/>
      <c r="O81" s="51"/>
    </row>
    <row r="82" spans="1:15" ht="15">
      <c r="A82" s="6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2"/>
      <c r="N82" s="52"/>
      <c r="O82" s="51"/>
    </row>
    <row r="83" spans="1:15" ht="15">
      <c r="A83" s="5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2"/>
      <c r="N83" s="52"/>
      <c r="O83" s="51"/>
    </row>
    <row r="84" spans="1:256" ht="15">
      <c r="A84" s="5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2"/>
      <c r="N84" s="52"/>
      <c r="O84" s="52"/>
      <c r="P84" s="1"/>
      <c r="Q84" s="1"/>
      <c r="R84" s="1"/>
      <c r="S84" s="1"/>
      <c r="T84" s="1"/>
      <c r="U84" s="20"/>
      <c r="V84" s="20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15" ht="15">
      <c r="A85" s="54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2"/>
      <c r="N85" s="52"/>
      <c r="O85" s="51"/>
    </row>
    <row r="86" spans="1:15" ht="15">
      <c r="A86" s="54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1"/>
    </row>
    <row r="87" spans="1:15" ht="15">
      <c r="A87" s="54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4"/>
      <c r="M87" s="52"/>
      <c r="N87" s="52"/>
      <c r="O87" s="51"/>
    </row>
    <row r="88" spans="1:15" ht="1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1"/>
      <c r="N88" s="51"/>
      <c r="O88" s="51"/>
    </row>
    <row r="89" spans="1:15" ht="1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1"/>
      <c r="N89" s="51"/>
      <c r="O89" s="51"/>
    </row>
    <row r="90" spans="1:15" ht="1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1"/>
      <c r="N90" s="51"/>
      <c r="O90" s="51"/>
    </row>
    <row r="91" spans="1:15" ht="1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1"/>
      <c r="N91" s="51"/>
      <c r="O91" s="51"/>
    </row>
    <row r="92" spans="1:15" ht="1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1"/>
      <c r="N92" s="51"/>
      <c r="O92" s="51"/>
    </row>
    <row r="93" spans="1:15" ht="1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1"/>
      <c r="N93" s="51"/>
      <c r="O93" s="51"/>
    </row>
    <row r="94" spans="1:15" ht="1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1"/>
      <c r="N94" s="51"/>
      <c r="O94" s="51"/>
    </row>
    <row r="95" spans="1:15" ht="1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1"/>
      <c r="N95" s="51"/>
      <c r="O95" s="51"/>
    </row>
    <row r="96" spans="1:15" ht="1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1"/>
      <c r="N96" s="51"/>
      <c r="O96" s="51"/>
    </row>
    <row r="97" spans="1:15" ht="1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1"/>
      <c r="N97" s="51"/>
      <c r="O97" s="51"/>
    </row>
    <row r="98" spans="1:15" ht="1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1"/>
      <c r="N98" s="51"/>
      <c r="O98" s="51"/>
    </row>
    <row r="99" spans="1:15" ht="1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1"/>
      <c r="N99" s="51"/>
      <c r="O99" s="51"/>
    </row>
    <row r="100" spans="1:15" ht="1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1"/>
      <c r="N100" s="51"/>
      <c r="O100" s="51"/>
    </row>
    <row r="101" spans="1:15" ht="1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1"/>
      <c r="N101" s="51"/>
      <c r="O101" s="51"/>
    </row>
    <row r="102" spans="1:15" ht="1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1"/>
      <c r="N102" s="51"/>
      <c r="O102" s="51"/>
    </row>
    <row r="103" spans="1:15" ht="1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1"/>
      <c r="N103" s="51"/>
      <c r="O103" s="51"/>
    </row>
    <row r="104" spans="1:15" ht="1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1"/>
      <c r="N104" s="51"/>
      <c r="O104" s="51"/>
    </row>
    <row r="105" spans="1:15" ht="1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1"/>
      <c r="N105" s="51"/>
      <c r="O105" s="51"/>
    </row>
    <row r="106" spans="1:15" ht="1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1"/>
      <c r="N106" s="51"/>
      <c r="O106" s="51"/>
    </row>
    <row r="107" spans="1:15" ht="1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1"/>
      <c r="O107" s="51"/>
    </row>
    <row r="108" spans="1:15" ht="1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1"/>
      <c r="N108" s="51"/>
      <c r="O108" s="51"/>
    </row>
    <row r="109" spans="1:15" ht="1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1"/>
      <c r="N109" s="51"/>
      <c r="O109" s="51"/>
    </row>
    <row r="110" spans="1:15" ht="1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1"/>
      <c r="N110" s="51"/>
      <c r="O110" s="51"/>
    </row>
    <row r="111" spans="1:15" ht="1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1"/>
      <c r="N111" s="51"/>
      <c r="O111" s="51"/>
    </row>
    <row r="112" spans="1:15" ht="1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1"/>
      <c r="N112" s="51"/>
      <c r="O112" s="51"/>
    </row>
    <row r="113" spans="1:15" ht="1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1"/>
      <c r="N113" s="51"/>
      <c r="O113" s="51"/>
    </row>
    <row r="114" spans="1:15" ht="1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1"/>
      <c r="N114" s="51"/>
      <c r="O114" s="51"/>
    </row>
    <row r="115" spans="1:15" ht="1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1"/>
      <c r="N115" s="51"/>
      <c r="O115" s="51"/>
    </row>
    <row r="116" spans="1:15" ht="1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1"/>
      <c r="N116" s="51"/>
      <c r="O116" s="51"/>
    </row>
    <row r="117" spans="1:15" ht="1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1"/>
      <c r="N117" s="51"/>
      <c r="O117" s="51"/>
    </row>
    <row r="118" spans="1:15" ht="1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1"/>
      <c r="N118" s="51"/>
      <c r="O118" s="51"/>
    </row>
    <row r="119" spans="1:15" ht="1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1"/>
      <c r="N119" s="51"/>
      <c r="O119" s="51"/>
    </row>
    <row r="120" spans="1:15" ht="1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1"/>
      <c r="N120" s="51"/>
      <c r="O120" s="51"/>
    </row>
    <row r="121" spans="1:15" ht="1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1"/>
      <c r="N121" s="51"/>
      <c r="O121" s="51"/>
    </row>
    <row r="122" spans="1:15" ht="1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1"/>
      <c r="N122" s="51"/>
      <c r="O122" s="51"/>
    </row>
    <row r="123" spans="1:15" ht="1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1"/>
      <c r="N123" s="51"/>
      <c r="O123" s="51"/>
    </row>
    <row r="8162" spans="2:12" ht="15">
      <c r="B8162"/>
      <c r="C8162"/>
      <c r="D8162"/>
      <c r="E8162"/>
      <c r="F8162"/>
      <c r="G8162"/>
      <c r="H8162"/>
      <c r="J8162"/>
      <c r="K8162"/>
      <c r="L8162"/>
    </row>
    <row r="8163" spans="2:12" ht="15">
      <c r="B8163"/>
      <c r="C8163"/>
      <c r="D8163"/>
      <c r="E8163"/>
      <c r="F8163"/>
      <c r="G8163"/>
      <c r="H8163"/>
      <c r="J8163"/>
      <c r="K8163"/>
      <c r="L8163"/>
    </row>
    <row r="8164" spans="2:12" ht="15">
      <c r="B8164"/>
      <c r="C8164"/>
      <c r="D8164"/>
      <c r="E8164"/>
      <c r="F8164"/>
      <c r="G8164"/>
      <c r="H8164"/>
      <c r="J8164"/>
      <c r="K8164"/>
      <c r="L8164"/>
    </row>
    <row r="8165" spans="2:12" ht="15">
      <c r="B8165"/>
      <c r="C8165"/>
      <c r="D8165"/>
      <c r="E8165"/>
      <c r="F8165"/>
      <c r="G8165"/>
      <c r="H8165"/>
      <c r="J8165"/>
      <c r="K8165"/>
      <c r="L8165"/>
    </row>
    <row r="8166" spans="2:12" ht="15">
      <c r="B8166"/>
      <c r="C8166"/>
      <c r="D8166"/>
      <c r="E8166"/>
      <c r="F8166"/>
      <c r="G8166"/>
      <c r="H8166"/>
      <c r="J8166"/>
      <c r="K8166"/>
      <c r="L8166"/>
    </row>
    <row r="8167" spans="2:12" ht="15">
      <c r="B8167"/>
      <c r="C8167"/>
      <c r="D8167"/>
      <c r="E8167"/>
      <c r="F8167"/>
      <c r="G8167"/>
      <c r="H8167"/>
      <c r="J8167"/>
      <c r="K8167"/>
      <c r="L8167"/>
    </row>
    <row r="8168" spans="2:12" ht="15">
      <c r="B8168"/>
      <c r="C8168"/>
      <c r="D8168"/>
      <c r="E8168"/>
      <c r="F8168"/>
      <c r="G8168"/>
      <c r="H8168"/>
      <c r="J8168"/>
      <c r="K8168"/>
      <c r="L8168"/>
    </row>
    <row r="8169" spans="2:12" ht="15">
      <c r="B8169"/>
      <c r="C8169"/>
      <c r="D8169"/>
      <c r="E8169"/>
      <c r="F8169"/>
      <c r="G8169"/>
      <c r="H8169"/>
      <c r="J8169"/>
      <c r="K8169"/>
      <c r="L8169"/>
    </row>
    <row r="8170" spans="2:12" ht="15">
      <c r="B8170"/>
      <c r="C8170"/>
      <c r="D8170"/>
      <c r="E8170"/>
      <c r="F8170"/>
      <c r="G8170"/>
      <c r="H8170"/>
      <c r="J8170"/>
      <c r="K8170"/>
      <c r="L8170"/>
    </row>
    <row r="8171" spans="2:12" ht="15">
      <c r="B8171"/>
      <c r="C8171"/>
      <c r="D8171"/>
      <c r="E8171"/>
      <c r="F8171"/>
      <c r="G8171"/>
      <c r="H8171"/>
      <c r="J8171"/>
      <c r="K8171"/>
      <c r="L8171"/>
    </row>
    <row r="8172" spans="2:12" ht="15">
      <c r="B8172"/>
      <c r="C8172"/>
      <c r="D8172"/>
      <c r="E8172"/>
      <c r="F8172"/>
      <c r="G8172"/>
      <c r="H8172"/>
      <c r="J8172"/>
      <c r="K8172"/>
      <c r="L8172"/>
    </row>
    <row r="8173" spans="2:12" ht="15">
      <c r="B8173"/>
      <c r="C8173"/>
      <c r="D8173"/>
      <c r="E8173"/>
      <c r="F8173"/>
      <c r="G8173"/>
      <c r="H8173"/>
      <c r="J8173"/>
      <c r="K8173"/>
      <c r="L8173"/>
    </row>
    <row r="8174" spans="2:12" ht="15">
      <c r="B8174"/>
      <c r="C8174"/>
      <c r="D8174"/>
      <c r="E8174"/>
      <c r="F8174"/>
      <c r="G8174"/>
      <c r="H8174"/>
      <c r="J8174"/>
      <c r="K8174"/>
      <c r="L8174"/>
    </row>
    <row r="8175" spans="2:12" ht="15">
      <c r="B8175"/>
      <c r="C8175"/>
      <c r="D8175"/>
      <c r="E8175"/>
      <c r="F8175"/>
      <c r="G8175"/>
      <c r="H8175"/>
      <c r="J8175"/>
      <c r="K8175"/>
      <c r="L8175"/>
    </row>
    <row r="8176" spans="2:12" ht="15">
      <c r="B8176"/>
      <c r="C8176"/>
      <c r="D8176"/>
      <c r="E8176"/>
      <c r="F8176"/>
      <c r="G8176"/>
      <c r="H8176"/>
      <c r="J8176"/>
      <c r="K8176"/>
      <c r="L8176"/>
    </row>
    <row r="8177" spans="2:12" ht="15">
      <c r="B8177"/>
      <c r="C8177"/>
      <c r="D8177"/>
      <c r="E8177"/>
      <c r="F8177"/>
      <c r="G8177"/>
      <c r="H8177"/>
      <c r="J8177"/>
      <c r="K8177"/>
      <c r="L8177"/>
    </row>
    <row r="8178" spans="2:12" ht="15">
      <c r="B8178"/>
      <c r="C8178"/>
      <c r="D8178"/>
      <c r="E8178"/>
      <c r="F8178"/>
      <c r="G8178"/>
      <c r="H8178"/>
      <c r="J8178"/>
      <c r="K8178"/>
      <c r="L8178"/>
    </row>
    <row r="8179" spans="2:12" ht="15">
      <c r="B8179"/>
      <c r="C8179"/>
      <c r="D8179"/>
      <c r="E8179"/>
      <c r="F8179"/>
      <c r="G8179"/>
      <c r="H8179"/>
      <c r="J8179"/>
      <c r="K8179"/>
      <c r="L8179"/>
    </row>
    <row r="8180" spans="2:12" ht="15">
      <c r="B8180"/>
      <c r="C8180"/>
      <c r="D8180"/>
      <c r="E8180"/>
      <c r="F8180"/>
      <c r="G8180"/>
      <c r="H8180"/>
      <c r="J8180"/>
      <c r="K8180"/>
      <c r="L8180"/>
    </row>
    <row r="8181" spans="2:12" ht="15">
      <c r="B8181"/>
      <c r="C8181"/>
      <c r="D8181"/>
      <c r="E8181"/>
      <c r="F8181"/>
      <c r="G8181"/>
      <c r="H8181"/>
      <c r="J8181"/>
      <c r="K8181"/>
      <c r="L8181"/>
    </row>
    <row r="8182" spans="2:12" ht="15">
      <c r="B8182"/>
      <c r="C8182"/>
      <c r="D8182"/>
      <c r="E8182"/>
      <c r="F8182"/>
      <c r="G8182"/>
      <c r="H8182"/>
      <c r="J8182"/>
      <c r="K8182"/>
      <c r="L8182"/>
    </row>
    <row r="8183" spans="2:12" ht="15">
      <c r="B8183"/>
      <c r="C8183"/>
      <c r="D8183"/>
      <c r="E8183"/>
      <c r="F8183"/>
      <c r="G8183"/>
      <c r="H8183"/>
      <c r="J8183"/>
      <c r="K8183"/>
      <c r="L8183"/>
    </row>
    <row r="8184" spans="2:12" ht="15">
      <c r="B8184"/>
      <c r="C8184"/>
      <c r="D8184"/>
      <c r="E8184"/>
      <c r="F8184"/>
      <c r="G8184"/>
      <c r="H8184"/>
      <c r="J8184"/>
      <c r="K8184"/>
      <c r="L8184"/>
    </row>
    <row r="8185" spans="2:12" ht="15">
      <c r="B8185"/>
      <c r="C8185"/>
      <c r="D8185"/>
      <c r="E8185"/>
      <c r="F8185"/>
      <c r="G8185"/>
      <c r="H8185"/>
      <c r="J8185"/>
      <c r="K8185"/>
      <c r="L8185"/>
    </row>
    <row r="8186" spans="2:12" ht="15">
      <c r="B8186"/>
      <c r="C8186"/>
      <c r="D8186"/>
      <c r="E8186"/>
      <c r="F8186"/>
      <c r="G8186"/>
      <c r="H8186"/>
      <c r="J8186"/>
      <c r="K8186"/>
      <c r="L8186"/>
    </row>
    <row r="8187" spans="2:12" ht="15">
      <c r="B8187"/>
      <c r="C8187"/>
      <c r="D8187"/>
      <c r="E8187"/>
      <c r="F8187"/>
      <c r="G8187"/>
      <c r="H8187"/>
      <c r="J8187"/>
      <c r="K8187"/>
      <c r="L8187"/>
    </row>
    <row r="8188" spans="2:12" ht="15">
      <c r="B8188"/>
      <c r="C8188"/>
      <c r="D8188"/>
      <c r="E8188"/>
      <c r="F8188"/>
      <c r="G8188"/>
      <c r="H8188"/>
      <c r="J8188"/>
      <c r="K8188"/>
      <c r="L8188"/>
    </row>
    <row r="8189" spans="2:12" ht="15">
      <c r="B8189"/>
      <c r="C8189"/>
      <c r="D8189"/>
      <c r="E8189"/>
      <c r="F8189"/>
      <c r="G8189"/>
      <c r="H8189"/>
      <c r="J8189"/>
      <c r="K8189"/>
      <c r="L8189"/>
    </row>
    <row r="8190" spans="2:12" ht="15">
      <c r="B8190"/>
      <c r="C8190"/>
      <c r="D8190"/>
      <c r="E8190"/>
      <c r="F8190"/>
      <c r="G8190"/>
      <c r="H8190"/>
      <c r="J8190"/>
      <c r="K8190"/>
      <c r="L8190"/>
    </row>
    <row r="8191" spans="2:12" ht="15">
      <c r="B8191"/>
      <c r="C8191"/>
      <c r="D8191"/>
      <c r="E8191"/>
      <c r="F8191"/>
      <c r="G8191"/>
      <c r="H8191"/>
      <c r="J8191"/>
      <c r="K8191"/>
      <c r="L8191"/>
    </row>
    <row r="8192" spans="2:12" ht="15">
      <c r="B8192"/>
      <c r="C8192"/>
      <c r="D8192"/>
      <c r="E8192"/>
      <c r="F8192"/>
      <c r="G8192"/>
      <c r="H8192"/>
      <c r="J8192"/>
      <c r="K8192"/>
      <c r="L8192"/>
    </row>
    <row r="8193" spans="2:12" ht="15">
      <c r="B8193"/>
      <c r="C8193"/>
      <c r="D8193"/>
      <c r="E8193"/>
      <c r="F8193"/>
      <c r="G8193"/>
      <c r="H8193"/>
      <c r="J8193"/>
      <c r="K8193"/>
      <c r="L8193"/>
    </row>
  </sheetData>
  <sheetProtection/>
  <printOptions/>
  <pageMargins left="0.5" right="0.5" top="0.5" bottom="0.55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193"/>
  <sheetViews>
    <sheetView defaultGridColor="0" zoomScale="50" zoomScaleNormal="50" zoomScalePageLayoutView="0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2" width="10.4453125" style="1" customWidth="1"/>
    <col min="3" max="3" width="10.21484375" style="1" customWidth="1"/>
    <col min="4" max="4" width="9.88671875" style="1" bestFit="1" customWidth="1"/>
    <col min="5" max="5" width="12.5546875" style="1" bestFit="1" customWidth="1"/>
    <col min="6" max="6" width="10.4453125" style="1" bestFit="1" customWidth="1"/>
    <col min="7" max="7" width="10.6640625" style="1" bestFit="1" customWidth="1"/>
    <col min="8" max="8" width="10.4453125" style="1" bestFit="1" customWidth="1"/>
    <col min="9" max="9" width="11.10546875" style="1" bestFit="1" customWidth="1"/>
    <col min="10" max="11" width="9.88671875" style="1" bestFit="1" customWidth="1"/>
    <col min="12" max="12" width="11.10546875" style="1" bestFit="1" customWidth="1"/>
    <col min="13" max="13" width="11.77734375" style="0" customWidth="1"/>
    <col min="14" max="14" width="13.77734375" style="0" customWidth="1"/>
    <col min="15" max="15" width="13.88671875" style="0" customWidth="1"/>
    <col min="16" max="16" width="11.21484375" style="0" customWidth="1"/>
    <col min="17" max="19" width="11.6640625" style="0" customWidth="1"/>
    <col min="20" max="20" width="9.77734375" style="0" customWidth="1"/>
    <col min="21" max="22" width="10.77734375" style="2" customWidth="1"/>
    <col min="23" max="23" width="9.77734375" style="0" customWidth="1"/>
    <col min="24" max="24" width="10.3359375" style="0" customWidth="1"/>
  </cols>
  <sheetData>
    <row r="1" spans="1:13" ht="21">
      <c r="A1" s="45" t="s">
        <v>133</v>
      </c>
      <c r="L1" s="3">
        <f>E5-I5</f>
        <v>256209.4305664295</v>
      </c>
      <c r="M1" s="4" t="s">
        <v>134</v>
      </c>
    </row>
    <row r="2" spans="12:41" ht="15">
      <c r="L2" s="3">
        <f>L1+J6-B13</f>
        <v>6209.43056642951</v>
      </c>
      <c r="M2" s="4" t="s">
        <v>135</v>
      </c>
      <c r="R2" t="s">
        <v>110</v>
      </c>
      <c r="S2" t="s">
        <v>111</v>
      </c>
      <c r="AN2" s="2"/>
      <c r="AO2" s="2"/>
    </row>
    <row r="3" spans="5:41" ht="18">
      <c r="E3" s="6" t="s">
        <v>112</v>
      </c>
      <c r="I3" s="46" t="s">
        <v>113</v>
      </c>
      <c r="L3" s="3">
        <f>L1+J6</f>
        <v>1006209.4305664295</v>
      </c>
      <c r="M3" s="4" t="s">
        <v>114</v>
      </c>
      <c r="R3" s="47">
        <f>-(H13+R5)</f>
        <v>56025.15647599392</v>
      </c>
      <c r="S3" s="5">
        <f>NPV(M25,S14:S23)</f>
        <v>254919.8145257439</v>
      </c>
      <c r="AN3" s="2"/>
      <c r="AO3" s="2"/>
    </row>
    <row r="4" spans="5:41" ht="15">
      <c r="E4" s="6" t="s">
        <v>115</v>
      </c>
      <c r="F4" s="6" t="s">
        <v>116</v>
      </c>
      <c r="G4" s="48" t="s">
        <v>110</v>
      </c>
      <c r="I4" s="8" t="s">
        <v>115</v>
      </c>
      <c r="J4" s="49" t="s">
        <v>117</v>
      </c>
      <c r="L4" s="3">
        <f>NPV(M25,M14:M23)</f>
        <v>254919.8145257439</v>
      </c>
      <c r="M4" s="4" t="s">
        <v>118</v>
      </c>
      <c r="Q4" t="s">
        <v>119</v>
      </c>
      <c r="R4" t="s">
        <v>120</v>
      </c>
      <c r="S4" t="s">
        <v>121</v>
      </c>
      <c r="AM4" s="2"/>
      <c r="AN4" s="2"/>
      <c r="AO4" s="2"/>
    </row>
    <row r="5" spans="1:41" ht="18">
      <c r="A5" s="10"/>
      <c r="B5" s="11"/>
      <c r="C5" s="11"/>
      <c r="D5" s="11"/>
      <c r="E5" s="12">
        <f>NPV(H25,H14:H23)</f>
        <v>941270.0430115359</v>
      </c>
      <c r="F5" s="12">
        <f>E5-B13</f>
        <v>-58729.95698846411</v>
      </c>
      <c r="G5" s="13">
        <f>NPV(N25,G14:G23)</f>
        <v>56389.824753788256</v>
      </c>
      <c r="H5" s="11"/>
      <c r="I5" s="14">
        <f>NPV(N25,N14:N23)</f>
        <v>685060.6124451064</v>
      </c>
      <c r="J5" s="46">
        <f>J6-I5</f>
        <v>64939.38755489362</v>
      </c>
      <c r="K5" s="11"/>
      <c r="L5" s="3">
        <f>L4-(B13-J6)</f>
        <v>4919.814525743888</v>
      </c>
      <c r="M5" s="4" t="s">
        <v>136</v>
      </c>
      <c r="N5" s="50"/>
      <c r="O5" s="17"/>
      <c r="P5" s="10"/>
      <c r="Q5" s="18">
        <f>NPV(N25,Q14:Q23)</f>
        <v>-628670.7876913182</v>
      </c>
      <c r="R5" s="19">
        <f>NPV(H25,R14:R23)</f>
        <v>885244.886535542</v>
      </c>
      <c r="S5" s="5">
        <f>SUM(Q5:R5)</f>
        <v>256574.09884422377</v>
      </c>
      <c r="AM5" s="2"/>
      <c r="AN5" s="2"/>
      <c r="AO5" s="2"/>
    </row>
    <row r="6" spans="1:41" ht="15">
      <c r="A6" t="s">
        <v>0</v>
      </c>
      <c r="C6" s="20">
        <v>0.01</v>
      </c>
      <c r="E6" s="1" t="s">
        <v>1</v>
      </c>
      <c r="G6" s="20">
        <v>0.8</v>
      </c>
      <c r="I6" s="21" t="s">
        <v>2</v>
      </c>
      <c r="J6" s="1">
        <v>750000</v>
      </c>
      <c r="L6" s="3">
        <f>B13+L5</f>
        <v>1004919.814525744</v>
      </c>
      <c r="M6" s="4" t="s">
        <v>123</v>
      </c>
      <c r="T6" s="22"/>
      <c r="AM6" s="2"/>
      <c r="AN6" s="2"/>
      <c r="AO6" s="2"/>
    </row>
    <row r="7" spans="1:41" ht="15">
      <c r="A7" t="s">
        <v>3</v>
      </c>
      <c r="C7" s="20">
        <v>0.06</v>
      </c>
      <c r="E7" s="1" t="s">
        <v>4</v>
      </c>
      <c r="G7" s="23">
        <v>27.5</v>
      </c>
      <c r="H7" s="1" t="s">
        <v>5</v>
      </c>
      <c r="I7" s="21" t="s">
        <v>6</v>
      </c>
      <c r="J7" s="20">
        <v>0.055</v>
      </c>
      <c r="AL7" s="24"/>
      <c r="AM7" s="2"/>
      <c r="AN7" s="2"/>
      <c r="AO7" s="2"/>
    </row>
    <row r="8" spans="1:41" ht="15">
      <c r="A8" t="s">
        <v>7</v>
      </c>
      <c r="C8" s="20">
        <f>1-(1-0.35)*(1-0.15)</f>
        <v>0.4475</v>
      </c>
      <c r="E8" s="1" t="s">
        <v>8</v>
      </c>
      <c r="G8" s="20">
        <f>1-(1-0.15)*(1-0.15)</f>
        <v>0.2775000000000001</v>
      </c>
      <c r="I8" s="21" t="s">
        <v>9</v>
      </c>
      <c r="J8" s="1">
        <v>2000</v>
      </c>
      <c r="T8" s="25"/>
      <c r="U8" s="26"/>
      <c r="AL8" s="24"/>
      <c r="AM8" s="2"/>
      <c r="AN8" s="2"/>
      <c r="AO8" s="2"/>
    </row>
    <row r="9" spans="1:41" ht="15">
      <c r="A9" t="s">
        <v>124</v>
      </c>
      <c r="C9" s="20">
        <f>0.25</f>
        <v>0.25</v>
      </c>
      <c r="E9" s="1" t="s">
        <v>10</v>
      </c>
      <c r="G9" s="20">
        <v>0.25</v>
      </c>
      <c r="AL9" s="24"/>
      <c r="AM9" s="2"/>
      <c r="AN9" s="2"/>
      <c r="AO9" s="2"/>
    </row>
    <row r="10" spans="2:41" ht="15">
      <c r="B10" s="27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8" t="s">
        <v>23</v>
      </c>
      <c r="T10" s="29"/>
      <c r="AL10" s="24"/>
      <c r="AM10" s="2"/>
      <c r="AN10" s="2"/>
      <c r="AO10" s="2"/>
    </row>
    <row r="11" spans="6:41" ht="15">
      <c r="F11" s="21" t="s">
        <v>24</v>
      </c>
      <c r="H11" s="21" t="s">
        <v>25</v>
      </c>
      <c r="J11" s="21" t="s">
        <v>26</v>
      </c>
      <c r="L11" s="21" t="s">
        <v>27</v>
      </c>
      <c r="M11" s="21" t="s">
        <v>28</v>
      </c>
      <c r="N11" s="30" t="s">
        <v>29</v>
      </c>
      <c r="AL11" s="24"/>
      <c r="AM11" s="2"/>
      <c r="AN11" s="2"/>
      <c r="AO11" s="2"/>
    </row>
    <row r="12" spans="1:41" ht="15">
      <c r="A12" s="31" t="s">
        <v>30</v>
      </c>
      <c r="B12" s="21" t="s">
        <v>31</v>
      </c>
      <c r="C12" s="21" t="s">
        <v>32</v>
      </c>
      <c r="D12" s="21" t="s">
        <v>33</v>
      </c>
      <c r="E12" s="21" t="s">
        <v>34</v>
      </c>
      <c r="F12" s="21" t="s">
        <v>35</v>
      </c>
      <c r="G12" s="21" t="s">
        <v>36</v>
      </c>
      <c r="H12" s="21" t="s">
        <v>37</v>
      </c>
      <c r="I12" s="21" t="s">
        <v>38</v>
      </c>
      <c r="J12" s="21" t="s">
        <v>39</v>
      </c>
      <c r="K12" s="21" t="s">
        <v>40</v>
      </c>
      <c r="L12" s="21" t="s">
        <v>41</v>
      </c>
      <c r="M12" s="21" t="s">
        <v>42</v>
      </c>
      <c r="N12" s="21" t="s">
        <v>125</v>
      </c>
      <c r="P12" s="32" t="s">
        <v>126</v>
      </c>
      <c r="Q12" s="32" t="s">
        <v>127</v>
      </c>
      <c r="R12" s="32" t="s">
        <v>128</v>
      </c>
      <c r="S12" s="32" t="s">
        <v>44</v>
      </c>
      <c r="U12" s="26"/>
      <c r="AL12" s="24"/>
      <c r="AM12" s="2"/>
      <c r="AN12" s="2"/>
      <c r="AO12" s="2"/>
    </row>
    <row r="13" spans="1:41" ht="15">
      <c r="A13" s="33">
        <v>0</v>
      </c>
      <c r="B13" s="34">
        <v>1000000</v>
      </c>
      <c r="E13" s="34">
        <f>-B13</f>
        <v>-1000000</v>
      </c>
      <c r="H13" s="34">
        <f>-NPV(H25,H14:H23)</f>
        <v>-941270.0430115359</v>
      </c>
      <c r="I13" s="1">
        <f>J6</f>
        <v>750000</v>
      </c>
      <c r="J13" s="34">
        <f>-J6</f>
        <v>-750000</v>
      </c>
      <c r="L13" s="34">
        <f aca="true" t="shared" si="0" ref="L13:L23">E13-J13</f>
        <v>-250000</v>
      </c>
      <c r="M13" s="1">
        <f>-(B13-J6)</f>
        <v>-250000</v>
      </c>
      <c r="N13" s="35">
        <f>-NPV(N25,N14:N23)</f>
        <v>-685060.6124451064</v>
      </c>
      <c r="O13" s="35">
        <f>-(J6+E4)</f>
        <v>-750000</v>
      </c>
      <c r="P13" s="35"/>
      <c r="Q13" s="35">
        <f>-NPV(N25,Q14:Q23)</f>
        <v>628670.7876913182</v>
      </c>
      <c r="R13" s="35">
        <f>-NPV(H25,R14:R23)</f>
        <v>-885244.886535542</v>
      </c>
      <c r="S13" s="35">
        <f>-NPV(M25,S14:S23)</f>
        <v>-254919.8145257439</v>
      </c>
      <c r="AL13" s="24"/>
      <c r="AM13" s="2"/>
      <c r="AN13" s="2"/>
      <c r="AO13" s="2"/>
    </row>
    <row r="14" spans="1:41" ht="15">
      <c r="A14" s="33">
        <f aca="true" t="shared" si="1" ref="A14:A23">1+A13</f>
        <v>1</v>
      </c>
      <c r="B14" s="34">
        <f aca="true" t="shared" si="2" ref="B14:B23">(1+C$6)*B13</f>
        <v>1010000</v>
      </c>
      <c r="C14" s="1">
        <f aca="true" t="shared" si="3" ref="C14:C23">C$7*B13</f>
        <v>60000</v>
      </c>
      <c r="D14" s="1">
        <v>0</v>
      </c>
      <c r="E14" s="34">
        <f aca="true" t="shared" si="4" ref="E14:E22">C14-D14</f>
        <v>60000</v>
      </c>
      <c r="F14" s="1">
        <f aca="true" t="shared" si="5" ref="F14:F22">C$8*C14</f>
        <v>26850</v>
      </c>
      <c r="G14" s="1">
        <f>$B$13*$C$8*$G$6/$G$7</f>
        <v>13018.181818181818</v>
      </c>
      <c r="H14" s="34">
        <f aca="true" t="shared" si="6" ref="H14:H23">E14-F14+G14</f>
        <v>46168.181818181816</v>
      </c>
      <c r="I14" s="1">
        <f aca="true" t="shared" si="7" ref="I14:I23">I13-$J$8</f>
        <v>748000</v>
      </c>
      <c r="J14" s="1">
        <f aca="true" t="shared" si="8" ref="J14:J22">$J$7*I13+$J$8</f>
        <v>43250</v>
      </c>
      <c r="K14" s="1">
        <f aca="true" t="shared" si="9" ref="K14:K23">C$8*I13*J$7</f>
        <v>18459.375</v>
      </c>
      <c r="L14" s="1">
        <f t="shared" si="0"/>
        <v>16750</v>
      </c>
      <c r="M14" s="1">
        <f aca="true" t="shared" si="10" ref="M14:M23">H14-J14+K14</f>
        <v>21377.556818181816</v>
      </c>
      <c r="N14" s="35">
        <f aca="true" t="shared" si="11" ref="N14:N23">J14-K14</f>
        <v>24790.625</v>
      </c>
      <c r="O14" s="35">
        <f aca="true" t="shared" si="12" ref="O14:O23">J14</f>
        <v>43250</v>
      </c>
      <c r="P14" s="35">
        <f aca="true" t="shared" si="13" ref="P14:P23">J14-K14</f>
        <v>24790.625</v>
      </c>
      <c r="Q14" s="36">
        <f aca="true" t="shared" si="14" ref="Q14:Q23">G14-P14</f>
        <v>-11772.443181818182</v>
      </c>
      <c r="R14" s="37">
        <f aca="true" t="shared" si="15" ref="R14:R23">E14-F14</f>
        <v>33150</v>
      </c>
      <c r="S14" s="37">
        <f aca="true" t="shared" si="16" ref="S14:S23">SUM(Q14:R14)</f>
        <v>21377.556818181816</v>
      </c>
      <c r="U14" s="26"/>
      <c r="AL14" s="24"/>
      <c r="AM14" s="2"/>
      <c r="AN14" s="2"/>
      <c r="AO14" s="2"/>
    </row>
    <row r="15" spans="1:41" ht="15">
      <c r="A15" s="33">
        <f t="shared" si="1"/>
        <v>2</v>
      </c>
      <c r="B15" s="34">
        <f t="shared" si="2"/>
        <v>1020100</v>
      </c>
      <c r="C15" s="1">
        <f t="shared" si="3"/>
        <v>60600</v>
      </c>
      <c r="D15" s="1">
        <v>0</v>
      </c>
      <c r="E15" s="34">
        <f t="shared" si="4"/>
        <v>60600</v>
      </c>
      <c r="F15" s="1">
        <f t="shared" si="5"/>
        <v>27118.5</v>
      </c>
      <c r="G15" s="1">
        <f aca="true" t="shared" si="17" ref="G15:G22">B$13*C$8*G$6/G$7</f>
        <v>13018.181818181818</v>
      </c>
      <c r="H15" s="34">
        <f t="shared" si="6"/>
        <v>46499.681818181816</v>
      </c>
      <c r="I15" s="1">
        <f t="shared" si="7"/>
        <v>746000</v>
      </c>
      <c r="J15" s="1">
        <f t="shared" si="8"/>
        <v>43140</v>
      </c>
      <c r="K15" s="1">
        <f t="shared" si="9"/>
        <v>18410.15</v>
      </c>
      <c r="L15" s="1">
        <f t="shared" si="0"/>
        <v>17460</v>
      </c>
      <c r="M15" s="1">
        <f t="shared" si="10"/>
        <v>21769.831818181818</v>
      </c>
      <c r="N15" s="35">
        <f t="shared" si="11"/>
        <v>24729.85</v>
      </c>
      <c r="O15" s="35">
        <f t="shared" si="12"/>
        <v>43140</v>
      </c>
      <c r="P15" s="35">
        <f t="shared" si="13"/>
        <v>24729.85</v>
      </c>
      <c r="Q15" s="36">
        <f t="shared" si="14"/>
        <v>-11711.66818181818</v>
      </c>
      <c r="R15" s="37">
        <f t="shared" si="15"/>
        <v>33481.5</v>
      </c>
      <c r="S15" s="37">
        <f t="shared" si="16"/>
        <v>21769.831818181818</v>
      </c>
      <c r="AL15" s="24"/>
      <c r="AM15" s="2"/>
      <c r="AN15" s="2"/>
      <c r="AO15" s="2"/>
    </row>
    <row r="16" spans="1:41" ht="15">
      <c r="A16" s="33">
        <f t="shared" si="1"/>
        <v>3</v>
      </c>
      <c r="B16" s="34">
        <f t="shared" si="2"/>
        <v>1030301</v>
      </c>
      <c r="C16" s="1">
        <f t="shared" si="3"/>
        <v>61206</v>
      </c>
      <c r="D16" s="1">
        <v>50000</v>
      </c>
      <c r="E16" s="34">
        <f t="shared" si="4"/>
        <v>11206</v>
      </c>
      <c r="F16" s="1">
        <f t="shared" si="5"/>
        <v>27389.685</v>
      </c>
      <c r="G16" s="1">
        <f t="shared" si="17"/>
        <v>13018.181818181818</v>
      </c>
      <c r="H16" s="34">
        <f t="shared" si="6"/>
        <v>-3165.5031818181833</v>
      </c>
      <c r="I16" s="1">
        <f t="shared" si="7"/>
        <v>744000</v>
      </c>
      <c r="J16" s="1">
        <f t="shared" si="8"/>
        <v>43030</v>
      </c>
      <c r="K16" s="1">
        <f t="shared" si="9"/>
        <v>18360.925</v>
      </c>
      <c r="L16" s="1">
        <f t="shared" si="0"/>
        <v>-31824</v>
      </c>
      <c r="M16" s="1">
        <f t="shared" si="10"/>
        <v>-27834.578181818182</v>
      </c>
      <c r="N16" s="35">
        <f t="shared" si="11"/>
        <v>24669.075</v>
      </c>
      <c r="O16" s="35">
        <f t="shared" si="12"/>
        <v>43030</v>
      </c>
      <c r="P16" s="35">
        <f t="shared" si="13"/>
        <v>24669.075</v>
      </c>
      <c r="Q16" s="36">
        <f t="shared" si="14"/>
        <v>-11650.893181818183</v>
      </c>
      <c r="R16" s="37">
        <f t="shared" si="15"/>
        <v>-16183.685000000001</v>
      </c>
      <c r="S16" s="37">
        <f t="shared" si="16"/>
        <v>-27834.578181818186</v>
      </c>
      <c r="AL16" s="24"/>
      <c r="AM16" s="2"/>
      <c r="AN16" s="2"/>
      <c r="AO16" s="2"/>
    </row>
    <row r="17" spans="1:41" ht="15">
      <c r="A17" s="33">
        <f t="shared" si="1"/>
        <v>4</v>
      </c>
      <c r="B17" s="34">
        <f t="shared" si="2"/>
        <v>1040604.01</v>
      </c>
      <c r="C17" s="1">
        <f t="shared" si="3"/>
        <v>61818.06</v>
      </c>
      <c r="D17" s="1">
        <v>0</v>
      </c>
      <c r="E17" s="34">
        <f t="shared" si="4"/>
        <v>61818.06</v>
      </c>
      <c r="F17" s="1">
        <f t="shared" si="5"/>
        <v>27663.58185</v>
      </c>
      <c r="G17" s="1">
        <f t="shared" si="17"/>
        <v>13018.181818181818</v>
      </c>
      <c r="H17" s="34">
        <f t="shared" si="6"/>
        <v>47172.65996818181</v>
      </c>
      <c r="I17" s="1">
        <f t="shared" si="7"/>
        <v>742000</v>
      </c>
      <c r="J17" s="1">
        <f t="shared" si="8"/>
        <v>42920</v>
      </c>
      <c r="K17" s="1">
        <f t="shared" si="9"/>
        <v>18311.7</v>
      </c>
      <c r="L17" s="1">
        <f t="shared" si="0"/>
        <v>18898.059999999998</v>
      </c>
      <c r="M17" s="1">
        <f t="shared" si="10"/>
        <v>22564.359968181812</v>
      </c>
      <c r="N17" s="35">
        <f t="shared" si="11"/>
        <v>24608.3</v>
      </c>
      <c r="O17" s="35">
        <f t="shared" si="12"/>
        <v>42920</v>
      </c>
      <c r="P17" s="35">
        <f t="shared" si="13"/>
        <v>24608.3</v>
      </c>
      <c r="Q17" s="36">
        <f t="shared" si="14"/>
        <v>-11590.118181818181</v>
      </c>
      <c r="R17" s="37">
        <f t="shared" si="15"/>
        <v>34154.478149999995</v>
      </c>
      <c r="S17" s="37">
        <f t="shared" si="16"/>
        <v>22564.359968181816</v>
      </c>
      <c r="AL17" s="24"/>
      <c r="AM17" s="2"/>
      <c r="AN17" s="2"/>
      <c r="AO17" s="2"/>
    </row>
    <row r="18" spans="1:41" ht="15">
      <c r="A18" s="33">
        <f t="shared" si="1"/>
        <v>5</v>
      </c>
      <c r="B18" s="34">
        <f t="shared" si="2"/>
        <v>1051010.0501</v>
      </c>
      <c r="C18" s="1">
        <f t="shared" si="3"/>
        <v>62436.2406</v>
      </c>
      <c r="D18" s="1">
        <v>0</v>
      </c>
      <c r="E18" s="34">
        <f t="shared" si="4"/>
        <v>62436.2406</v>
      </c>
      <c r="F18" s="1">
        <f t="shared" si="5"/>
        <v>27940.217668499998</v>
      </c>
      <c r="G18" s="1">
        <f t="shared" si="17"/>
        <v>13018.181818181818</v>
      </c>
      <c r="H18" s="34">
        <f t="shared" si="6"/>
        <v>47514.20474968182</v>
      </c>
      <c r="I18" s="1">
        <f t="shared" si="7"/>
        <v>740000</v>
      </c>
      <c r="J18" s="1">
        <f t="shared" si="8"/>
        <v>42810</v>
      </c>
      <c r="K18" s="1">
        <f t="shared" si="9"/>
        <v>18262.475</v>
      </c>
      <c r="L18" s="1">
        <f t="shared" si="0"/>
        <v>19626.240599999997</v>
      </c>
      <c r="M18" s="1">
        <f t="shared" si="10"/>
        <v>22966.679749681818</v>
      </c>
      <c r="N18" s="35">
        <f t="shared" si="11"/>
        <v>24547.525</v>
      </c>
      <c r="O18" s="35">
        <f t="shared" si="12"/>
        <v>42810</v>
      </c>
      <c r="P18" s="35">
        <f t="shared" si="13"/>
        <v>24547.525</v>
      </c>
      <c r="Q18" s="36">
        <f t="shared" si="14"/>
        <v>-11529.343181818183</v>
      </c>
      <c r="R18" s="37">
        <f t="shared" si="15"/>
        <v>34496.0229315</v>
      </c>
      <c r="S18" s="37">
        <f t="shared" si="16"/>
        <v>22966.679749681818</v>
      </c>
      <c r="AL18" s="24"/>
      <c r="AM18" s="2"/>
      <c r="AN18" s="2"/>
      <c r="AO18" s="2"/>
    </row>
    <row r="19" spans="1:41" ht="15">
      <c r="A19" s="33">
        <f t="shared" si="1"/>
        <v>6</v>
      </c>
      <c r="B19" s="34">
        <f t="shared" si="2"/>
        <v>1061520.150601</v>
      </c>
      <c r="C19" s="1">
        <f t="shared" si="3"/>
        <v>63060.603006000005</v>
      </c>
      <c r="D19" s="1">
        <v>0</v>
      </c>
      <c r="E19" s="34">
        <f t="shared" si="4"/>
        <v>63060.603006000005</v>
      </c>
      <c r="F19" s="1">
        <f t="shared" si="5"/>
        <v>28219.619845185003</v>
      </c>
      <c r="G19" s="1">
        <f t="shared" si="17"/>
        <v>13018.181818181818</v>
      </c>
      <c r="H19" s="34">
        <f t="shared" si="6"/>
        <v>47859.164978996814</v>
      </c>
      <c r="I19" s="1">
        <f t="shared" si="7"/>
        <v>738000</v>
      </c>
      <c r="J19" s="1">
        <f t="shared" si="8"/>
        <v>42700</v>
      </c>
      <c r="K19" s="1">
        <f t="shared" si="9"/>
        <v>18213.25</v>
      </c>
      <c r="L19" s="1">
        <f t="shared" si="0"/>
        <v>20360.603006000005</v>
      </c>
      <c r="M19" s="1">
        <f t="shared" si="10"/>
        <v>23372.414978996814</v>
      </c>
      <c r="N19" s="35">
        <f t="shared" si="11"/>
        <v>24486.75</v>
      </c>
      <c r="O19" s="35">
        <f t="shared" si="12"/>
        <v>42700</v>
      </c>
      <c r="P19" s="35">
        <f t="shared" si="13"/>
        <v>24486.75</v>
      </c>
      <c r="Q19" s="36">
        <f t="shared" si="14"/>
        <v>-11468.568181818182</v>
      </c>
      <c r="R19" s="37">
        <f t="shared" si="15"/>
        <v>34840.983160815</v>
      </c>
      <c r="S19" s="37">
        <f t="shared" si="16"/>
        <v>23372.414978996814</v>
      </c>
      <c r="W19" s="2"/>
      <c r="Y19" s="2"/>
      <c r="AA19" s="2"/>
      <c r="AL19" s="24"/>
      <c r="AM19" s="2"/>
      <c r="AN19" s="2"/>
      <c r="AO19" s="2"/>
    </row>
    <row r="20" spans="1:41" ht="15">
      <c r="A20" s="33">
        <f t="shared" si="1"/>
        <v>7</v>
      </c>
      <c r="B20" s="34">
        <f t="shared" si="2"/>
        <v>1072135.35210701</v>
      </c>
      <c r="C20" s="1">
        <f t="shared" si="3"/>
        <v>63691.20903606</v>
      </c>
      <c r="D20" s="1">
        <v>0</v>
      </c>
      <c r="E20" s="34">
        <f t="shared" si="4"/>
        <v>63691.20903606</v>
      </c>
      <c r="F20" s="1">
        <f t="shared" si="5"/>
        <v>28501.81604363685</v>
      </c>
      <c r="G20" s="1">
        <f t="shared" si="17"/>
        <v>13018.181818181818</v>
      </c>
      <c r="H20" s="34">
        <f t="shared" si="6"/>
        <v>48207.574810604965</v>
      </c>
      <c r="I20" s="1">
        <f t="shared" si="7"/>
        <v>736000</v>
      </c>
      <c r="J20" s="1">
        <f t="shared" si="8"/>
        <v>42590</v>
      </c>
      <c r="K20" s="1">
        <f t="shared" si="9"/>
        <v>18164.025</v>
      </c>
      <c r="L20" s="1">
        <f t="shared" si="0"/>
        <v>21101.209036059998</v>
      </c>
      <c r="M20" s="1">
        <f t="shared" si="10"/>
        <v>23781.599810604966</v>
      </c>
      <c r="N20" s="35">
        <f t="shared" si="11"/>
        <v>24425.975</v>
      </c>
      <c r="O20" s="35">
        <f t="shared" si="12"/>
        <v>42590</v>
      </c>
      <c r="P20" s="35">
        <f t="shared" si="13"/>
        <v>24425.975</v>
      </c>
      <c r="Q20" s="36">
        <f t="shared" si="14"/>
        <v>-11407.79318181818</v>
      </c>
      <c r="R20" s="37">
        <f t="shared" si="15"/>
        <v>35189.39299242315</v>
      </c>
      <c r="S20" s="37">
        <f t="shared" si="16"/>
        <v>23781.599810604966</v>
      </c>
      <c r="T20" s="24"/>
      <c r="W20" s="24"/>
      <c r="X20" s="2"/>
      <c r="Y20" s="2"/>
      <c r="AB20" s="2"/>
      <c r="AL20" s="24"/>
      <c r="AM20" s="2"/>
      <c r="AN20" s="2"/>
      <c r="AO20" s="2"/>
    </row>
    <row r="21" spans="1:41" ht="15">
      <c r="A21" s="33">
        <f t="shared" si="1"/>
        <v>8</v>
      </c>
      <c r="B21" s="34">
        <f t="shared" si="2"/>
        <v>1082856.7056280803</v>
      </c>
      <c r="C21" s="1">
        <f t="shared" si="3"/>
        <v>64328.1211264206</v>
      </c>
      <c r="D21" s="1">
        <v>50000</v>
      </c>
      <c r="E21" s="34">
        <f t="shared" si="4"/>
        <v>14328.1211264206</v>
      </c>
      <c r="F21" s="1">
        <f t="shared" si="5"/>
        <v>28786.83420407322</v>
      </c>
      <c r="G21" s="1">
        <f t="shared" si="17"/>
        <v>13018.181818181818</v>
      </c>
      <c r="H21" s="34">
        <f t="shared" si="6"/>
        <v>-1440.531259470803</v>
      </c>
      <c r="I21" s="1">
        <f t="shared" si="7"/>
        <v>734000</v>
      </c>
      <c r="J21" s="1">
        <f t="shared" si="8"/>
        <v>42480</v>
      </c>
      <c r="K21" s="1">
        <f t="shared" si="9"/>
        <v>18114.8</v>
      </c>
      <c r="L21" s="1">
        <f t="shared" si="0"/>
        <v>-28151.8788735794</v>
      </c>
      <c r="M21" s="1">
        <f t="shared" si="10"/>
        <v>-25805.731259470802</v>
      </c>
      <c r="N21" s="35">
        <f t="shared" si="11"/>
        <v>24365.2</v>
      </c>
      <c r="O21" s="35">
        <f t="shared" si="12"/>
        <v>42480</v>
      </c>
      <c r="P21" s="35">
        <f t="shared" si="13"/>
        <v>24365.2</v>
      </c>
      <c r="Q21" s="36">
        <f t="shared" si="14"/>
        <v>-11347.018181818183</v>
      </c>
      <c r="R21" s="37">
        <f t="shared" si="15"/>
        <v>-14458.713077652621</v>
      </c>
      <c r="S21" s="37">
        <f t="shared" si="16"/>
        <v>-25805.731259470806</v>
      </c>
      <c r="T21" s="24"/>
      <c r="W21" s="24"/>
      <c r="X21" s="2"/>
      <c r="Y21" s="2"/>
      <c r="AB21" s="2"/>
      <c r="AL21" s="24"/>
      <c r="AM21" s="2"/>
      <c r="AN21" s="2"/>
      <c r="AO21" s="2"/>
    </row>
    <row r="22" spans="1:41" ht="15">
      <c r="A22" s="33">
        <f t="shared" si="1"/>
        <v>9</v>
      </c>
      <c r="B22" s="34">
        <f t="shared" si="2"/>
        <v>1093685.272684361</v>
      </c>
      <c r="C22" s="1">
        <f t="shared" si="3"/>
        <v>64971.40233768481</v>
      </c>
      <c r="D22" s="1">
        <v>0</v>
      </c>
      <c r="E22" s="34">
        <f t="shared" si="4"/>
        <v>64971.40233768481</v>
      </c>
      <c r="F22" s="1">
        <f t="shared" si="5"/>
        <v>29074.702546113953</v>
      </c>
      <c r="G22" s="1">
        <f t="shared" si="17"/>
        <v>13018.181818181818</v>
      </c>
      <c r="H22" s="34">
        <f t="shared" si="6"/>
        <v>48914.88160975268</v>
      </c>
      <c r="I22" s="1">
        <f t="shared" si="7"/>
        <v>732000</v>
      </c>
      <c r="J22" s="1">
        <f t="shared" si="8"/>
        <v>42370</v>
      </c>
      <c r="K22" s="1">
        <f t="shared" si="9"/>
        <v>18065.575</v>
      </c>
      <c r="L22" s="1">
        <f t="shared" si="0"/>
        <v>22601.402337684813</v>
      </c>
      <c r="M22" s="1">
        <f t="shared" si="10"/>
        <v>24610.45660975268</v>
      </c>
      <c r="N22" s="35">
        <f t="shared" si="11"/>
        <v>24304.425</v>
      </c>
      <c r="O22" s="35">
        <f t="shared" si="12"/>
        <v>42370</v>
      </c>
      <c r="P22" s="35">
        <f t="shared" si="13"/>
        <v>24304.425</v>
      </c>
      <c r="Q22" s="36">
        <f t="shared" si="14"/>
        <v>-11286.243181818181</v>
      </c>
      <c r="R22" s="37">
        <f t="shared" si="15"/>
        <v>35896.69979157086</v>
      </c>
      <c r="S22" s="37">
        <f t="shared" si="16"/>
        <v>24610.456609752684</v>
      </c>
      <c r="T22" s="24"/>
      <c r="W22" s="24"/>
      <c r="X22" s="2"/>
      <c r="Y22" s="2"/>
      <c r="AL22" s="24"/>
      <c r="AM22" s="2"/>
      <c r="AN22" s="2"/>
      <c r="AO22" s="2"/>
    </row>
    <row r="23" spans="1:41" ht="15">
      <c r="A23" s="33">
        <f t="shared" si="1"/>
        <v>10</v>
      </c>
      <c r="B23" s="34">
        <f t="shared" si="2"/>
        <v>1104622.1254112048</v>
      </c>
      <c r="C23" s="1">
        <f t="shared" si="3"/>
        <v>65621.11636106166</v>
      </c>
      <c r="D23" s="1">
        <v>0</v>
      </c>
      <c r="E23" s="34">
        <f>B23+C23-D23</f>
        <v>1170243.2417722663</v>
      </c>
      <c r="F23" s="1">
        <f>C$8*C23+G$8*(B23-(B13+SUM(D14:D23)))</f>
        <v>30648.08937318442</v>
      </c>
      <c r="G23" s="1">
        <f>B$13*($C$8*$G$6/$G$7-10*$G$9*$G$6/$G$7)</f>
        <v>-59709.090909090904</v>
      </c>
      <c r="H23" s="34">
        <f t="shared" si="6"/>
        <v>1079886.0614899911</v>
      </c>
      <c r="I23" s="1">
        <f t="shared" si="7"/>
        <v>730000</v>
      </c>
      <c r="J23" s="1">
        <f>$J$7*I22+I22</f>
        <v>772260</v>
      </c>
      <c r="K23" s="1">
        <f t="shared" si="9"/>
        <v>18016.35</v>
      </c>
      <c r="L23" s="1">
        <f t="shared" si="0"/>
        <v>397983.24177226634</v>
      </c>
      <c r="M23" s="1">
        <f t="shared" si="10"/>
        <v>325642.4114899911</v>
      </c>
      <c r="N23" s="35">
        <f t="shared" si="11"/>
        <v>754243.65</v>
      </c>
      <c r="O23" s="35">
        <f t="shared" si="12"/>
        <v>772260</v>
      </c>
      <c r="P23" s="35">
        <f t="shared" si="13"/>
        <v>754243.65</v>
      </c>
      <c r="Q23" s="36">
        <f t="shared" si="14"/>
        <v>-813952.740909091</v>
      </c>
      <c r="R23" s="37">
        <f t="shared" si="15"/>
        <v>1139595.152399082</v>
      </c>
      <c r="S23" s="37">
        <f t="shared" si="16"/>
        <v>325642.411489991</v>
      </c>
      <c r="T23" s="24"/>
      <c r="W23" s="24"/>
      <c r="X23" s="2"/>
      <c r="Y23" s="2"/>
      <c r="AL23" s="24"/>
      <c r="AM23" s="2"/>
      <c r="AN23" s="2"/>
      <c r="AO23" s="2"/>
    </row>
    <row r="24" spans="13:41" ht="15">
      <c r="M24" s="1"/>
      <c r="AL24" s="24"/>
      <c r="AM24" s="2"/>
      <c r="AN24" s="2"/>
      <c r="AO24" s="2"/>
    </row>
    <row r="25" spans="1:41" ht="15">
      <c r="A25" s="20" t="s">
        <v>45</v>
      </c>
      <c r="D25" s="20"/>
      <c r="E25" s="20">
        <f>IRR(E13:E23,0.1)</f>
        <v>0.06042883175756719</v>
      </c>
      <c r="F25" s="20"/>
      <c r="G25" s="20"/>
      <c r="H25" s="20">
        <f>'14.3APVexmplMarginalInvestor'!H25</f>
        <v>0.04756807620505432</v>
      </c>
      <c r="J25" s="20">
        <f>IRR(J13:J23,0.1)</f>
        <v>0.05499999999999994</v>
      </c>
      <c r="K25" s="20"/>
      <c r="L25" s="20">
        <f>IRR(L13:L23,0.1)</f>
        <v>0.07397085670193504</v>
      </c>
      <c r="M25" s="20">
        <f>'14.3APVexmplMarginalInvestor'!M25</f>
        <v>0.06437605624343412</v>
      </c>
      <c r="N25" s="20">
        <f>J7*(1-C9)</f>
        <v>0.04125</v>
      </c>
      <c r="O25" s="20">
        <f>IRR(O13:O23,0.1)</f>
        <v>0.05499999999999994</v>
      </c>
      <c r="P25" s="20"/>
      <c r="Q25" s="20"/>
      <c r="R25" s="20">
        <f>IRR(R13:R23,0.1)</f>
        <v>0.047568076205060095</v>
      </c>
      <c r="S25" s="20"/>
      <c r="V25" s="38"/>
      <c r="AL25" s="24"/>
      <c r="AM25" s="2"/>
      <c r="AN25" s="2"/>
      <c r="AO25" s="2"/>
    </row>
    <row r="26" spans="2:41" ht="15">
      <c r="B26"/>
      <c r="C26"/>
      <c r="D26"/>
      <c r="E26"/>
      <c r="F26"/>
      <c r="G26"/>
      <c r="H26"/>
      <c r="J26"/>
      <c r="K26"/>
      <c r="L26"/>
      <c r="O26" s="2"/>
      <c r="P26" s="2"/>
      <c r="Q26" s="2"/>
      <c r="R26" s="2"/>
      <c r="S26" s="2"/>
      <c r="V26" s="38"/>
      <c r="W26" s="31"/>
      <c r="AN26" s="2"/>
      <c r="AO26" s="2"/>
    </row>
    <row r="27" spans="2:41" ht="15">
      <c r="B27"/>
      <c r="C27"/>
      <c r="D27"/>
      <c r="E27"/>
      <c r="F27"/>
      <c r="G27"/>
      <c r="H27"/>
      <c r="J27"/>
      <c r="K27"/>
      <c r="L27"/>
      <c r="O27" s="2"/>
      <c r="P27" s="2"/>
      <c r="Q27" s="2"/>
      <c r="R27" s="2"/>
      <c r="S27" s="2"/>
      <c r="T27" s="24"/>
      <c r="V27" s="24"/>
      <c r="W27" s="2"/>
      <c r="AN27" s="2"/>
      <c r="AO27" s="2"/>
    </row>
    <row r="28" spans="1:41" ht="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1"/>
      <c r="N28" s="51"/>
      <c r="O28" s="51"/>
      <c r="T28" s="24"/>
      <c r="V28" s="24"/>
      <c r="W28" s="2"/>
      <c r="AN28" s="2"/>
      <c r="AO28" s="2"/>
    </row>
    <row r="29" spans="1:41" ht="15">
      <c r="A29" s="51"/>
      <c r="B29" s="53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4"/>
      <c r="N29" s="54"/>
      <c r="O29" s="51"/>
      <c r="T29" s="24"/>
      <c r="V29" s="24"/>
      <c r="W29" s="2"/>
      <c r="AN29" s="2"/>
      <c r="AO29" s="2"/>
    </row>
    <row r="30" spans="1:41" ht="1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4"/>
      <c r="N30" s="54"/>
      <c r="O30" s="51"/>
      <c r="T30" s="24"/>
      <c r="V30" s="24"/>
      <c r="W30" s="2"/>
      <c r="AN30" s="2"/>
      <c r="AO30" s="2"/>
    </row>
    <row r="31" spans="1:41" ht="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1"/>
      <c r="N31" s="51"/>
      <c r="O31" s="51"/>
      <c r="T31" s="24"/>
      <c r="V31" s="24"/>
      <c r="W31" s="2"/>
      <c r="AN31" s="2"/>
      <c r="AO31" s="2"/>
    </row>
    <row r="32" spans="1:41" ht="15">
      <c r="A32" s="5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1"/>
      <c r="T32" s="24"/>
      <c r="V32" s="24"/>
      <c r="W32" s="2"/>
      <c r="AN32" s="2"/>
      <c r="AO32" s="2"/>
    </row>
    <row r="33" spans="1:41" ht="15">
      <c r="A33" s="54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2"/>
      <c r="N33" s="52"/>
      <c r="O33" s="51"/>
      <c r="T33" s="24"/>
      <c r="V33" s="24"/>
      <c r="W33" s="2"/>
      <c r="AN33" s="2"/>
      <c r="AO33" s="2"/>
    </row>
    <row r="34" spans="1:41" ht="15">
      <c r="A34" s="5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1"/>
      <c r="T34" s="24"/>
      <c r="V34" s="24"/>
      <c r="W34" s="2"/>
      <c r="AN34" s="2"/>
      <c r="AO34" s="2"/>
    </row>
    <row r="35" spans="1:41" ht="15">
      <c r="A35" s="5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1"/>
      <c r="T35" s="24"/>
      <c r="V35" s="24"/>
      <c r="W35" s="2"/>
      <c r="AN35" s="2"/>
      <c r="AO35" s="2"/>
    </row>
    <row r="36" spans="1:43" ht="15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2"/>
      <c r="N36" s="52"/>
      <c r="O36" s="51"/>
      <c r="T36" s="24"/>
      <c r="V36" s="24"/>
      <c r="W36" s="2"/>
      <c r="AN36" s="2"/>
      <c r="AO36" s="2"/>
      <c r="AP36" s="2"/>
      <c r="AQ36" s="24"/>
    </row>
    <row r="37" spans="1:43" ht="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1"/>
      <c r="T37" s="24"/>
      <c r="V37" s="24"/>
      <c r="W37" s="2"/>
      <c r="AN37" s="2"/>
      <c r="AO37" s="2"/>
      <c r="AP37" s="2"/>
      <c r="AQ37" s="24"/>
    </row>
    <row r="38" spans="1:44" ht="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1"/>
      <c r="T38" s="24"/>
      <c r="V38" s="24"/>
      <c r="W38" s="2"/>
      <c r="AN38" s="2"/>
      <c r="AO38" s="2"/>
      <c r="AR38" s="28"/>
    </row>
    <row r="39" spans="1:41" ht="15">
      <c r="A39" s="5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1"/>
      <c r="T39" s="24"/>
      <c r="V39" s="24"/>
      <c r="W39" s="2"/>
      <c r="AN39" s="2"/>
      <c r="AO39" s="2"/>
    </row>
    <row r="40" spans="1:41" ht="15">
      <c r="A40" s="54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2"/>
      <c r="N40" s="52"/>
      <c r="O40" s="51"/>
      <c r="T40" s="24"/>
      <c r="V40" s="24"/>
      <c r="W40" s="2"/>
      <c r="AN40" s="2"/>
      <c r="AO40" s="2"/>
    </row>
    <row r="41" spans="1:41" ht="15">
      <c r="A41" s="5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2"/>
      <c r="N41" s="52"/>
      <c r="O41" s="51"/>
      <c r="T41" s="24"/>
      <c r="V41" s="24"/>
      <c r="W41" s="2"/>
      <c r="AN41" s="2"/>
      <c r="AO41" s="2"/>
    </row>
    <row r="42" spans="1:41" ht="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/>
      <c r="T42" s="24"/>
      <c r="V42" s="24"/>
      <c r="W42" s="2"/>
      <c r="AN42" s="2"/>
      <c r="AO42" s="2"/>
    </row>
    <row r="43" spans="1:41" ht="15">
      <c r="A43" s="5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1"/>
      <c r="T43" s="24"/>
      <c r="V43" s="24"/>
      <c r="W43" s="2"/>
      <c r="AN43" s="2"/>
      <c r="AO43" s="2"/>
    </row>
    <row r="44" spans="1:41" ht="15">
      <c r="A44" s="5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2"/>
      <c r="N44" s="52"/>
      <c r="O44" s="51"/>
      <c r="T44" s="24"/>
      <c r="V44" s="24"/>
      <c r="W44" s="2"/>
      <c r="AN44" s="2"/>
      <c r="AO44" s="2"/>
    </row>
    <row r="45" spans="1:41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1"/>
      <c r="T45" s="24"/>
      <c r="V45" s="24"/>
      <c r="W45" s="2"/>
      <c r="AN45" s="2"/>
      <c r="AO45" s="2"/>
    </row>
    <row r="46" spans="1:41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/>
      <c r="T46" s="24"/>
      <c r="V46" s="24"/>
      <c r="W46" s="2"/>
      <c r="AN46" s="2"/>
      <c r="AO46" s="2"/>
    </row>
    <row r="47" spans="1:41" ht="22.5">
      <c r="A47" s="55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1"/>
      <c r="T47" s="24"/>
      <c r="V47" s="24"/>
      <c r="AN47" s="2"/>
      <c r="AO47" s="2"/>
    </row>
    <row r="48" spans="1:41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1"/>
      <c r="T48" s="24"/>
      <c r="V48" s="24"/>
      <c r="AN48" s="2"/>
      <c r="AO48" s="2"/>
    </row>
    <row r="49" spans="1:41" ht="15">
      <c r="A49" s="51"/>
      <c r="B49" s="52"/>
      <c r="C49" s="56"/>
      <c r="D49" s="52"/>
      <c r="E49" s="51"/>
      <c r="F49" s="53"/>
      <c r="G49" s="53"/>
      <c r="H49" s="51"/>
      <c r="I49" s="52"/>
      <c r="J49" s="52"/>
      <c r="K49" s="52"/>
      <c r="L49" s="52"/>
      <c r="M49" s="52"/>
      <c r="N49" s="52"/>
      <c r="O49" s="51"/>
      <c r="V49" s="24"/>
      <c r="AN49" s="2"/>
      <c r="AO49" s="2"/>
    </row>
    <row r="50" spans="1:41" ht="15">
      <c r="A50" s="51"/>
      <c r="B50" s="52"/>
      <c r="C50" s="52"/>
      <c r="D50" s="52"/>
      <c r="E50" s="53"/>
      <c r="F50" s="57"/>
      <c r="G50" s="57"/>
      <c r="H50" s="51"/>
      <c r="I50" s="52"/>
      <c r="J50" s="52"/>
      <c r="K50" s="52"/>
      <c r="L50" s="52"/>
      <c r="M50" s="52"/>
      <c r="N50" s="52"/>
      <c r="O50" s="51"/>
      <c r="AN50" s="2"/>
      <c r="AO50" s="2"/>
    </row>
    <row r="51" spans="1:41" ht="15">
      <c r="A51" s="51"/>
      <c r="B51" s="52"/>
      <c r="C51" s="57"/>
      <c r="D51" s="52"/>
      <c r="E51" s="53"/>
      <c r="F51" s="57"/>
      <c r="G51" s="57"/>
      <c r="H51" s="51"/>
      <c r="I51" s="52"/>
      <c r="J51" s="52"/>
      <c r="K51" s="52"/>
      <c r="L51" s="52"/>
      <c r="M51" s="52"/>
      <c r="N51" s="52"/>
      <c r="O51" s="51"/>
      <c r="AN51" s="2"/>
      <c r="AO51" s="2"/>
    </row>
    <row r="52" spans="1:41" ht="15">
      <c r="A52" s="51"/>
      <c r="B52" s="52"/>
      <c r="C52" s="57"/>
      <c r="D52" s="52"/>
      <c r="E52" s="53"/>
      <c r="F52" s="58"/>
      <c r="G52" s="58"/>
      <c r="H52" s="52"/>
      <c r="I52" s="52"/>
      <c r="J52" s="52"/>
      <c r="K52" s="52"/>
      <c r="L52" s="52"/>
      <c r="M52" s="52"/>
      <c r="N52" s="52"/>
      <c r="O52" s="51"/>
      <c r="AN52" s="2"/>
      <c r="AO52" s="2"/>
    </row>
    <row r="53" spans="1:41" ht="15">
      <c r="A53" s="51"/>
      <c r="B53" s="52"/>
      <c r="C53" s="57"/>
      <c r="D53" s="52"/>
      <c r="E53" s="52"/>
      <c r="F53" s="52"/>
      <c r="G53" s="52"/>
      <c r="H53" s="52"/>
      <c r="I53" s="52"/>
      <c r="J53" s="52"/>
      <c r="K53" s="52"/>
      <c r="L53" s="52"/>
      <c r="M53" s="51"/>
      <c r="N53" s="51"/>
      <c r="O53" s="51"/>
      <c r="AL53" s="1"/>
      <c r="AN53" s="2"/>
      <c r="AO53" s="2"/>
    </row>
    <row r="54" spans="1:41" ht="15">
      <c r="A54" s="52"/>
      <c r="B54" s="52"/>
      <c r="C54" s="52"/>
      <c r="D54" s="52"/>
      <c r="E54" s="52"/>
      <c r="F54" s="52"/>
      <c r="G54" s="52"/>
      <c r="H54" s="51"/>
      <c r="I54" s="52"/>
      <c r="J54" s="52"/>
      <c r="K54" s="52"/>
      <c r="L54" s="52"/>
      <c r="M54" s="51"/>
      <c r="N54" s="51"/>
      <c r="O54" s="51"/>
      <c r="AL54" s="1"/>
      <c r="AN54" s="24"/>
      <c r="AO54" s="24"/>
    </row>
    <row r="55" spans="1:41" ht="15">
      <c r="A55" s="51"/>
      <c r="B55" s="59"/>
      <c r="C55" s="52"/>
      <c r="D55" s="52"/>
      <c r="E55" s="52"/>
      <c r="F55" s="52"/>
      <c r="G55" s="52"/>
      <c r="H55" s="52"/>
      <c r="I55" s="52"/>
      <c r="J55" s="52"/>
      <c r="K55" s="53"/>
      <c r="L55" s="53"/>
      <c r="M55" s="53"/>
      <c r="N55" s="53"/>
      <c r="O55" s="51"/>
      <c r="AL55" s="1"/>
      <c r="AN55" s="2"/>
      <c r="AO55" s="2"/>
    </row>
    <row r="56" spans="1:41" ht="15">
      <c r="A56" s="51"/>
      <c r="B56" s="60"/>
      <c r="C56" s="60"/>
      <c r="D56" s="60"/>
      <c r="E56" s="60"/>
      <c r="F56" s="60"/>
      <c r="G56" s="60"/>
      <c r="H56" s="60"/>
      <c r="I56" s="60"/>
      <c r="J56" s="60"/>
      <c r="K56" s="53"/>
      <c r="L56" s="53"/>
      <c r="M56" s="53"/>
      <c r="N56" s="53"/>
      <c r="O56" s="51"/>
      <c r="AL56" s="1"/>
      <c r="AN56" s="24"/>
      <c r="AO56" s="24"/>
    </row>
    <row r="57" spans="1:41" ht="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1"/>
      <c r="AL57" s="1"/>
      <c r="AN57" s="2"/>
      <c r="AO57" s="2"/>
    </row>
    <row r="58" spans="1:41" ht="15">
      <c r="A58" s="5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2"/>
      <c r="N58" s="52"/>
      <c r="O58" s="51"/>
      <c r="AL58" s="1"/>
      <c r="AN58" s="2"/>
      <c r="AO58" s="2"/>
    </row>
    <row r="59" spans="1:42" ht="15">
      <c r="A59" s="5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2"/>
      <c r="N59" s="52"/>
      <c r="O59" s="51"/>
      <c r="AL59" s="1"/>
      <c r="AN59" s="24"/>
      <c r="AO59" s="2"/>
      <c r="AP59" s="24"/>
    </row>
    <row r="60" spans="1:42" ht="15">
      <c r="A60" s="5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1"/>
      <c r="AL60" s="1"/>
      <c r="AN60" s="24"/>
      <c r="AO60" s="2"/>
      <c r="AP60" s="24"/>
    </row>
    <row r="61" spans="1:42" ht="15">
      <c r="A61" s="5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2"/>
      <c r="N61" s="52"/>
      <c r="O61" s="51"/>
      <c r="AL61" s="1"/>
      <c r="AN61" s="24"/>
      <c r="AO61" s="2"/>
      <c r="AP61" s="24"/>
    </row>
    <row r="62" spans="1:41" ht="15">
      <c r="A62" s="5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2"/>
      <c r="N62" s="52"/>
      <c r="O62" s="51"/>
      <c r="AL62" s="1"/>
      <c r="AN62" s="2"/>
      <c r="AO62" s="2"/>
    </row>
    <row r="63" spans="1:43" ht="15">
      <c r="A63" s="5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2"/>
      <c r="N63" s="52"/>
      <c r="O63" s="51"/>
      <c r="AL63" s="1"/>
      <c r="AN63" s="24"/>
      <c r="AO63" s="2"/>
      <c r="AP63" s="24"/>
      <c r="AQ63" s="2"/>
    </row>
    <row r="64" spans="1:42" ht="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1"/>
      <c r="AL64" s="1"/>
      <c r="AN64" s="24"/>
      <c r="AO64" s="2"/>
      <c r="AP64" s="24"/>
    </row>
    <row r="65" spans="1:42" ht="1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1"/>
      <c r="AL65" s="1"/>
      <c r="AN65" s="24"/>
      <c r="AO65" s="2"/>
      <c r="AP65" s="24"/>
    </row>
    <row r="66" spans="1:42" ht="15">
      <c r="A66" s="54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1"/>
      <c r="AL66" s="1"/>
      <c r="AN66" s="24"/>
      <c r="AO66" s="2"/>
      <c r="AP66" s="24"/>
    </row>
    <row r="67" spans="1:42" ht="15">
      <c r="A67" s="5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2"/>
      <c r="N67" s="52"/>
      <c r="O67" s="51"/>
      <c r="AL67" s="1"/>
      <c r="AN67" s="2"/>
      <c r="AO67" s="2"/>
      <c r="AP67" s="24"/>
    </row>
    <row r="68" spans="1:41" ht="15">
      <c r="A68" s="54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  <c r="M68" s="52"/>
      <c r="N68" s="52"/>
      <c r="O68" s="51"/>
      <c r="AL68" s="1"/>
      <c r="AN68" s="2"/>
      <c r="AO68" s="2"/>
    </row>
    <row r="69" spans="1:41" ht="15">
      <c r="A69" s="54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2"/>
      <c r="N69" s="52"/>
      <c r="O69" s="51"/>
      <c r="AL69" s="1"/>
      <c r="AN69" s="2"/>
      <c r="AO69" s="2"/>
    </row>
    <row r="70" spans="1:41" ht="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1"/>
      <c r="AL70" s="1"/>
      <c r="AN70" s="2"/>
      <c r="AO70" s="2"/>
    </row>
    <row r="71" spans="1:41" ht="15">
      <c r="A71" s="5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2"/>
      <c r="N71" s="52"/>
      <c r="O71" s="51"/>
      <c r="AL71" s="1"/>
      <c r="AN71" s="2"/>
      <c r="AO71" s="2"/>
    </row>
    <row r="72" spans="1:41" ht="15">
      <c r="A72" s="54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2"/>
      <c r="N72" s="52"/>
      <c r="O72" s="51"/>
      <c r="AL72" s="1"/>
      <c r="AN72" s="2"/>
      <c r="AO72" s="2"/>
    </row>
    <row r="73" spans="1:41" ht="1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1"/>
      <c r="AL73" s="1"/>
      <c r="AN73" s="2"/>
      <c r="AO73" s="2"/>
    </row>
    <row r="74" spans="1:19" ht="1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1"/>
      <c r="Q74" s="1"/>
      <c r="R74" s="1"/>
      <c r="S74" s="1"/>
    </row>
    <row r="75" spans="1:15" ht="15">
      <c r="A75" s="52"/>
      <c r="B75" s="52"/>
      <c r="C75" s="52"/>
      <c r="D75" s="52"/>
      <c r="E75" s="52"/>
      <c r="F75" s="52"/>
      <c r="G75" s="52"/>
      <c r="H75" s="51"/>
      <c r="I75" s="52"/>
      <c r="J75" s="52"/>
      <c r="K75" s="52"/>
      <c r="L75" s="52"/>
      <c r="M75" s="51"/>
      <c r="N75" s="51"/>
      <c r="O75" s="51"/>
    </row>
    <row r="76" spans="1:15" ht="15">
      <c r="A76" s="51"/>
      <c r="B76" s="59"/>
      <c r="C76" s="52"/>
      <c r="D76" s="52"/>
      <c r="E76" s="52"/>
      <c r="F76" s="52"/>
      <c r="G76" s="52"/>
      <c r="H76" s="52"/>
      <c r="I76" s="52"/>
      <c r="J76" s="52"/>
      <c r="K76" s="53"/>
      <c r="L76" s="53"/>
      <c r="M76" s="54"/>
      <c r="N76" s="54"/>
      <c r="O76" s="51"/>
    </row>
    <row r="77" spans="1:15" ht="15">
      <c r="A77" s="51"/>
      <c r="B77" s="60"/>
      <c r="C77" s="60"/>
      <c r="D77" s="60"/>
      <c r="E77" s="60"/>
      <c r="F77" s="60"/>
      <c r="G77" s="60"/>
      <c r="H77" s="60"/>
      <c r="I77" s="60"/>
      <c r="J77" s="60"/>
      <c r="K77" s="53"/>
      <c r="L77" s="53"/>
      <c r="M77" s="54"/>
      <c r="N77" s="54"/>
      <c r="O77" s="51"/>
    </row>
    <row r="78" spans="1:15" ht="1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1"/>
    </row>
    <row r="79" spans="1:15" ht="15">
      <c r="A79" s="54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2"/>
      <c r="N79" s="52"/>
      <c r="O79" s="51"/>
    </row>
    <row r="80" spans="1:15" ht="15">
      <c r="A80" s="54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1"/>
    </row>
    <row r="81" spans="1:15" ht="15">
      <c r="A81" s="54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2"/>
      <c r="N81" s="52"/>
      <c r="O81" s="51"/>
    </row>
    <row r="82" spans="1:15" ht="15">
      <c r="A82" s="6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2"/>
      <c r="N82" s="52"/>
      <c r="O82" s="51"/>
    </row>
    <row r="83" spans="1:15" ht="15">
      <c r="A83" s="5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2"/>
      <c r="N83" s="52"/>
      <c r="O83" s="51"/>
    </row>
    <row r="84" spans="1:256" ht="15">
      <c r="A84" s="5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2"/>
      <c r="N84" s="52"/>
      <c r="O84" s="52"/>
      <c r="P84" s="1"/>
      <c r="Q84" s="1"/>
      <c r="R84" s="1"/>
      <c r="S84" s="1"/>
      <c r="T84" s="1"/>
      <c r="U84" s="20"/>
      <c r="V84" s="20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15" ht="15">
      <c r="A85" s="54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2"/>
      <c r="N85" s="52"/>
      <c r="O85" s="51"/>
    </row>
    <row r="86" spans="1:15" ht="15">
      <c r="A86" s="54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1"/>
    </row>
    <row r="87" spans="1:15" ht="15">
      <c r="A87" s="54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4"/>
      <c r="M87" s="52"/>
      <c r="N87" s="52"/>
      <c r="O87" s="51"/>
    </row>
    <row r="88" spans="1:15" ht="1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1"/>
      <c r="N88" s="51"/>
      <c r="O88" s="51"/>
    </row>
    <row r="89" spans="1:15" ht="1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1"/>
      <c r="N89" s="51"/>
      <c r="O89" s="51"/>
    </row>
    <row r="90" spans="1:15" ht="1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1"/>
      <c r="N90" s="51"/>
      <c r="O90" s="51"/>
    </row>
    <row r="91" spans="1:15" ht="1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1"/>
      <c r="N91" s="51"/>
      <c r="O91" s="51"/>
    </row>
    <row r="92" spans="1:15" ht="1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1"/>
      <c r="N92" s="51"/>
      <c r="O92" s="51"/>
    </row>
    <row r="93" spans="1:15" ht="1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1"/>
      <c r="N93" s="51"/>
      <c r="O93" s="51"/>
    </row>
    <row r="94" spans="1:15" ht="1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1"/>
      <c r="N94" s="51"/>
      <c r="O94" s="51"/>
    </row>
    <row r="95" spans="1:15" ht="1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1"/>
      <c r="N95" s="51"/>
      <c r="O95" s="51"/>
    </row>
    <row r="96" spans="1:15" ht="1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1"/>
      <c r="N96" s="51"/>
      <c r="O96" s="51"/>
    </row>
    <row r="97" spans="1:15" ht="1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1"/>
      <c r="N97" s="51"/>
      <c r="O97" s="51"/>
    </row>
    <row r="98" spans="1:15" ht="1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1"/>
      <c r="N98" s="51"/>
      <c r="O98" s="51"/>
    </row>
    <row r="99" spans="1:15" ht="1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1"/>
      <c r="N99" s="51"/>
      <c r="O99" s="51"/>
    </row>
    <row r="100" spans="1:15" ht="1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1"/>
      <c r="N100" s="51"/>
      <c r="O100" s="51"/>
    </row>
    <row r="101" spans="1:15" ht="1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1"/>
      <c r="N101" s="51"/>
      <c r="O101" s="51"/>
    </row>
    <row r="102" spans="1:15" ht="1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1"/>
      <c r="N102" s="51"/>
      <c r="O102" s="51"/>
    </row>
    <row r="103" spans="1:15" ht="1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1"/>
      <c r="N103" s="51"/>
      <c r="O103" s="51"/>
    </row>
    <row r="104" spans="1:15" ht="1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1"/>
      <c r="N104" s="51"/>
      <c r="O104" s="51"/>
    </row>
    <row r="105" spans="1:15" ht="1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1"/>
      <c r="N105" s="51"/>
      <c r="O105" s="51"/>
    </row>
    <row r="106" spans="1:15" ht="1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1"/>
      <c r="N106" s="51"/>
      <c r="O106" s="51"/>
    </row>
    <row r="107" spans="1:15" ht="1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1"/>
      <c r="O107" s="51"/>
    </row>
    <row r="108" spans="1:15" ht="1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1"/>
      <c r="N108" s="51"/>
      <c r="O108" s="51"/>
    </row>
    <row r="109" spans="1:15" ht="1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1"/>
      <c r="N109" s="51"/>
      <c r="O109" s="51"/>
    </row>
    <row r="110" spans="1:15" ht="1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1"/>
      <c r="N110" s="51"/>
      <c r="O110" s="51"/>
    </row>
    <row r="111" spans="1:15" ht="1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1"/>
      <c r="N111" s="51"/>
      <c r="O111" s="51"/>
    </row>
    <row r="112" spans="1:15" ht="1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1"/>
      <c r="N112" s="51"/>
      <c r="O112" s="51"/>
    </row>
    <row r="113" spans="1:15" ht="1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1"/>
      <c r="N113" s="51"/>
      <c r="O113" s="51"/>
    </row>
    <row r="114" spans="1:15" ht="1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1"/>
      <c r="N114" s="51"/>
      <c r="O114" s="51"/>
    </row>
    <row r="115" spans="1:15" ht="1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1"/>
      <c r="N115" s="51"/>
      <c r="O115" s="51"/>
    </row>
    <row r="116" spans="1:15" ht="1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1"/>
      <c r="N116" s="51"/>
      <c r="O116" s="51"/>
    </row>
    <row r="117" spans="1:15" ht="1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1"/>
      <c r="N117" s="51"/>
      <c r="O117" s="51"/>
    </row>
    <row r="118" spans="1:15" ht="1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1"/>
      <c r="N118" s="51"/>
      <c r="O118" s="51"/>
    </row>
    <row r="119" spans="1:15" ht="1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1"/>
      <c r="N119" s="51"/>
      <c r="O119" s="51"/>
    </row>
    <row r="120" spans="1:15" ht="1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1"/>
      <c r="N120" s="51"/>
      <c r="O120" s="51"/>
    </row>
    <row r="121" spans="1:15" ht="1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1"/>
      <c r="N121" s="51"/>
      <c r="O121" s="51"/>
    </row>
    <row r="122" spans="1:15" ht="1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1"/>
      <c r="N122" s="51"/>
      <c r="O122" s="51"/>
    </row>
    <row r="123" spans="1:15" ht="1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1"/>
      <c r="N123" s="51"/>
      <c r="O123" s="51"/>
    </row>
    <row r="8162" spans="2:12" ht="15">
      <c r="B8162"/>
      <c r="C8162"/>
      <c r="D8162"/>
      <c r="E8162"/>
      <c r="F8162"/>
      <c r="G8162"/>
      <c r="H8162"/>
      <c r="J8162"/>
      <c r="K8162"/>
      <c r="L8162"/>
    </row>
    <row r="8163" spans="2:12" ht="15">
      <c r="B8163"/>
      <c r="C8163"/>
      <c r="D8163"/>
      <c r="E8163"/>
      <c r="F8163"/>
      <c r="G8163"/>
      <c r="H8163"/>
      <c r="J8163"/>
      <c r="K8163"/>
      <c r="L8163"/>
    </row>
    <row r="8164" spans="2:12" ht="15">
      <c r="B8164"/>
      <c r="C8164"/>
      <c r="D8164"/>
      <c r="E8164"/>
      <c r="F8164"/>
      <c r="G8164"/>
      <c r="H8164"/>
      <c r="J8164"/>
      <c r="K8164"/>
      <c r="L8164"/>
    </row>
    <row r="8165" spans="2:12" ht="15">
      <c r="B8165"/>
      <c r="C8165"/>
      <c r="D8165"/>
      <c r="E8165"/>
      <c r="F8165"/>
      <c r="G8165"/>
      <c r="H8165"/>
      <c r="J8165"/>
      <c r="K8165"/>
      <c r="L8165"/>
    </row>
    <row r="8166" spans="2:12" ht="15">
      <c r="B8166"/>
      <c r="C8166"/>
      <c r="D8166"/>
      <c r="E8166"/>
      <c r="F8166"/>
      <c r="G8166"/>
      <c r="H8166"/>
      <c r="J8166"/>
      <c r="K8166"/>
      <c r="L8166"/>
    </row>
    <row r="8167" spans="2:12" ht="15">
      <c r="B8167"/>
      <c r="C8167"/>
      <c r="D8167"/>
      <c r="E8167"/>
      <c r="F8167"/>
      <c r="G8167"/>
      <c r="H8167"/>
      <c r="J8167"/>
      <c r="K8167"/>
      <c r="L8167"/>
    </row>
    <row r="8168" spans="2:12" ht="15">
      <c r="B8168"/>
      <c r="C8168"/>
      <c r="D8168"/>
      <c r="E8168"/>
      <c r="F8168"/>
      <c r="G8168"/>
      <c r="H8168"/>
      <c r="J8168"/>
      <c r="K8168"/>
      <c r="L8168"/>
    </row>
    <row r="8169" spans="2:12" ht="15">
      <c r="B8169"/>
      <c r="C8169"/>
      <c r="D8169"/>
      <c r="E8169"/>
      <c r="F8169"/>
      <c r="G8169"/>
      <c r="H8169"/>
      <c r="J8169"/>
      <c r="K8169"/>
      <c r="L8169"/>
    </row>
    <row r="8170" spans="2:12" ht="15">
      <c r="B8170"/>
      <c r="C8170"/>
      <c r="D8170"/>
      <c r="E8170"/>
      <c r="F8170"/>
      <c r="G8170"/>
      <c r="H8170"/>
      <c r="J8170"/>
      <c r="K8170"/>
      <c r="L8170"/>
    </row>
    <row r="8171" spans="2:12" ht="15">
      <c r="B8171"/>
      <c r="C8171"/>
      <c r="D8171"/>
      <c r="E8171"/>
      <c r="F8171"/>
      <c r="G8171"/>
      <c r="H8171"/>
      <c r="J8171"/>
      <c r="K8171"/>
      <c r="L8171"/>
    </row>
    <row r="8172" spans="2:12" ht="15">
      <c r="B8172"/>
      <c r="C8172"/>
      <c r="D8172"/>
      <c r="E8172"/>
      <c r="F8172"/>
      <c r="G8172"/>
      <c r="H8172"/>
      <c r="J8172"/>
      <c r="K8172"/>
      <c r="L8172"/>
    </row>
    <row r="8173" spans="2:12" ht="15">
      <c r="B8173"/>
      <c r="C8173"/>
      <c r="D8173"/>
      <c r="E8173"/>
      <c r="F8173"/>
      <c r="G8173"/>
      <c r="H8173"/>
      <c r="J8173"/>
      <c r="K8173"/>
      <c r="L8173"/>
    </row>
    <row r="8174" spans="2:12" ht="15">
      <c r="B8174"/>
      <c r="C8174"/>
      <c r="D8174"/>
      <c r="E8174"/>
      <c r="F8174"/>
      <c r="G8174"/>
      <c r="H8174"/>
      <c r="J8174"/>
      <c r="K8174"/>
      <c r="L8174"/>
    </row>
    <row r="8175" spans="2:12" ht="15">
      <c r="B8175"/>
      <c r="C8175"/>
      <c r="D8175"/>
      <c r="E8175"/>
      <c r="F8175"/>
      <c r="G8175"/>
      <c r="H8175"/>
      <c r="J8175"/>
      <c r="K8175"/>
      <c r="L8175"/>
    </row>
    <row r="8176" spans="2:12" ht="15">
      <c r="B8176"/>
      <c r="C8176"/>
      <c r="D8176"/>
      <c r="E8176"/>
      <c r="F8176"/>
      <c r="G8176"/>
      <c r="H8176"/>
      <c r="J8176"/>
      <c r="K8176"/>
      <c r="L8176"/>
    </row>
    <row r="8177" spans="2:12" ht="15">
      <c r="B8177"/>
      <c r="C8177"/>
      <c r="D8177"/>
      <c r="E8177"/>
      <c r="F8177"/>
      <c r="G8177"/>
      <c r="H8177"/>
      <c r="J8177"/>
      <c r="K8177"/>
      <c r="L8177"/>
    </row>
    <row r="8178" spans="2:12" ht="15">
      <c r="B8178"/>
      <c r="C8178"/>
      <c r="D8178"/>
      <c r="E8178"/>
      <c r="F8178"/>
      <c r="G8178"/>
      <c r="H8178"/>
      <c r="J8178"/>
      <c r="K8178"/>
      <c r="L8178"/>
    </row>
    <row r="8179" spans="2:12" ht="15">
      <c r="B8179"/>
      <c r="C8179"/>
      <c r="D8179"/>
      <c r="E8179"/>
      <c r="F8179"/>
      <c r="G8179"/>
      <c r="H8179"/>
      <c r="J8179"/>
      <c r="K8179"/>
      <c r="L8179"/>
    </row>
    <row r="8180" spans="2:12" ht="15">
      <c r="B8180"/>
      <c r="C8180"/>
      <c r="D8180"/>
      <c r="E8180"/>
      <c r="F8180"/>
      <c r="G8180"/>
      <c r="H8180"/>
      <c r="J8180"/>
      <c r="K8180"/>
      <c r="L8180"/>
    </row>
    <row r="8181" spans="2:12" ht="15">
      <c r="B8181"/>
      <c r="C8181"/>
      <c r="D8181"/>
      <c r="E8181"/>
      <c r="F8181"/>
      <c r="G8181"/>
      <c r="H8181"/>
      <c r="J8181"/>
      <c r="K8181"/>
      <c r="L8181"/>
    </row>
    <row r="8182" spans="2:12" ht="15">
      <c r="B8182"/>
      <c r="C8182"/>
      <c r="D8182"/>
      <c r="E8182"/>
      <c r="F8182"/>
      <c r="G8182"/>
      <c r="H8182"/>
      <c r="J8182"/>
      <c r="K8182"/>
      <c r="L8182"/>
    </row>
    <row r="8183" spans="2:12" ht="15">
      <c r="B8183"/>
      <c r="C8183"/>
      <c r="D8183"/>
      <c r="E8183"/>
      <c r="F8183"/>
      <c r="G8183"/>
      <c r="H8183"/>
      <c r="J8183"/>
      <c r="K8183"/>
      <c r="L8183"/>
    </row>
    <row r="8184" spans="2:12" ht="15">
      <c r="B8184"/>
      <c r="C8184"/>
      <c r="D8184"/>
      <c r="E8184"/>
      <c r="F8184"/>
      <c r="G8184"/>
      <c r="H8184"/>
      <c r="J8184"/>
      <c r="K8184"/>
      <c r="L8184"/>
    </row>
    <row r="8185" spans="2:12" ht="15">
      <c r="B8185"/>
      <c r="C8185"/>
      <c r="D8185"/>
      <c r="E8185"/>
      <c r="F8185"/>
      <c r="G8185"/>
      <c r="H8185"/>
      <c r="J8185"/>
      <c r="K8185"/>
      <c r="L8185"/>
    </row>
    <row r="8186" spans="2:12" ht="15">
      <c r="B8186"/>
      <c r="C8186"/>
      <c r="D8186"/>
      <c r="E8186"/>
      <c r="F8186"/>
      <c r="G8186"/>
      <c r="H8186"/>
      <c r="J8186"/>
      <c r="K8186"/>
      <c r="L8186"/>
    </row>
    <row r="8187" spans="2:12" ht="15">
      <c r="B8187"/>
      <c r="C8187"/>
      <c r="D8187"/>
      <c r="E8187"/>
      <c r="F8187"/>
      <c r="G8187"/>
      <c r="H8187"/>
      <c r="J8187"/>
      <c r="K8187"/>
      <c r="L8187"/>
    </row>
    <row r="8188" spans="2:12" ht="15">
      <c r="B8188"/>
      <c r="C8188"/>
      <c r="D8188"/>
      <c r="E8188"/>
      <c r="F8188"/>
      <c r="G8188"/>
      <c r="H8188"/>
      <c r="J8188"/>
      <c r="K8188"/>
      <c r="L8188"/>
    </row>
    <row r="8189" spans="2:12" ht="15">
      <c r="B8189"/>
      <c r="C8189"/>
      <c r="D8189"/>
      <c r="E8189"/>
      <c r="F8189"/>
      <c r="G8189"/>
      <c r="H8189"/>
      <c r="J8189"/>
      <c r="K8189"/>
      <c r="L8189"/>
    </row>
    <row r="8190" spans="2:12" ht="15">
      <c r="B8190"/>
      <c r="C8190"/>
      <c r="D8190"/>
      <c r="E8190"/>
      <c r="F8190"/>
      <c r="G8190"/>
      <c r="H8190"/>
      <c r="J8190"/>
      <c r="K8190"/>
      <c r="L8190"/>
    </row>
    <row r="8191" spans="2:12" ht="15">
      <c r="B8191"/>
      <c r="C8191"/>
      <c r="D8191"/>
      <c r="E8191"/>
      <c r="F8191"/>
      <c r="G8191"/>
      <c r="H8191"/>
      <c r="J8191"/>
      <c r="K8191"/>
      <c r="L8191"/>
    </row>
    <row r="8192" spans="2:12" ht="15">
      <c r="B8192"/>
      <c r="C8192"/>
      <c r="D8192"/>
      <c r="E8192"/>
      <c r="F8192"/>
      <c r="G8192"/>
      <c r="H8192"/>
      <c r="J8192"/>
      <c r="K8192"/>
      <c r="L8192"/>
    </row>
    <row r="8193" spans="2:12" ht="15">
      <c r="B8193"/>
      <c r="C8193"/>
      <c r="D8193"/>
      <c r="E8193"/>
      <c r="F8193"/>
      <c r="G8193"/>
      <c r="H8193"/>
      <c r="J8193"/>
      <c r="K8193"/>
      <c r="L8193"/>
    </row>
  </sheetData>
  <sheetProtection/>
  <printOptions/>
  <pageMargins left="0.5" right="0.5" top="0.5" bottom="0.55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193"/>
  <sheetViews>
    <sheetView defaultGridColor="0" zoomScale="50" zoomScaleNormal="50" zoomScalePageLayoutView="0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2" width="10.4453125" style="1" customWidth="1"/>
    <col min="3" max="3" width="10.21484375" style="1" customWidth="1"/>
    <col min="4" max="4" width="9.88671875" style="1" bestFit="1" customWidth="1"/>
    <col min="5" max="5" width="12.5546875" style="1" bestFit="1" customWidth="1"/>
    <col min="6" max="6" width="10.4453125" style="1" bestFit="1" customWidth="1"/>
    <col min="7" max="7" width="10.6640625" style="1" bestFit="1" customWidth="1"/>
    <col min="8" max="8" width="10.4453125" style="1" bestFit="1" customWidth="1"/>
    <col min="9" max="9" width="11.10546875" style="1" bestFit="1" customWidth="1"/>
    <col min="10" max="11" width="9.88671875" style="1" bestFit="1" customWidth="1"/>
    <col min="12" max="12" width="11.10546875" style="1" bestFit="1" customWidth="1"/>
    <col min="13" max="13" width="11.77734375" style="0" customWidth="1"/>
    <col min="14" max="14" width="13.77734375" style="0" customWidth="1"/>
    <col min="15" max="15" width="13.88671875" style="0" customWidth="1"/>
    <col min="16" max="16" width="11.21484375" style="0" customWidth="1"/>
    <col min="17" max="19" width="11.6640625" style="0" customWidth="1"/>
    <col min="20" max="20" width="9.77734375" style="0" customWidth="1"/>
    <col min="21" max="22" width="10.77734375" style="2" customWidth="1"/>
    <col min="23" max="23" width="9.77734375" style="0" customWidth="1"/>
    <col min="24" max="24" width="10.3359375" style="0" customWidth="1"/>
  </cols>
  <sheetData>
    <row r="1" spans="1:13" ht="21">
      <c r="A1" s="45" t="s">
        <v>137</v>
      </c>
      <c r="L1" s="3">
        <f>E5-I5</f>
        <v>239689.19211837987</v>
      </c>
      <c r="M1" s="4" t="s">
        <v>134</v>
      </c>
    </row>
    <row r="2" spans="12:41" ht="15">
      <c r="L2" s="3">
        <f>L1+J6-B13</f>
        <v>-10310.80788162013</v>
      </c>
      <c r="M2" s="4" t="s">
        <v>135</v>
      </c>
      <c r="R2" t="s">
        <v>110</v>
      </c>
      <c r="S2" t="s">
        <v>111</v>
      </c>
      <c r="AN2" s="2"/>
      <c r="AO2" s="2"/>
    </row>
    <row r="3" spans="5:41" ht="18">
      <c r="E3" s="6" t="s">
        <v>112</v>
      </c>
      <c r="I3" s="46" t="s">
        <v>113</v>
      </c>
      <c r="L3" s="3">
        <f>L1+J6</f>
        <v>989689.1921183799</v>
      </c>
      <c r="M3" s="4" t="s">
        <v>114</v>
      </c>
      <c r="R3" s="47">
        <f>-(H13+R5)</f>
        <v>39504.91802794428</v>
      </c>
      <c r="S3" s="5">
        <f>NPV(M25,S14:S23)</f>
        <v>238734.90992377582</v>
      </c>
      <c r="AN3" s="2"/>
      <c r="AO3" s="2"/>
    </row>
    <row r="4" spans="5:41" ht="15">
      <c r="E4" s="6" t="s">
        <v>115</v>
      </c>
      <c r="F4" s="6" t="s">
        <v>116</v>
      </c>
      <c r="G4" s="48" t="s">
        <v>110</v>
      </c>
      <c r="I4" s="8" t="s">
        <v>115</v>
      </c>
      <c r="J4" s="49" t="s">
        <v>117</v>
      </c>
      <c r="L4" s="3">
        <f>NPV(M25,M14:M23)</f>
        <v>238734.9099237759</v>
      </c>
      <c r="M4" s="4" t="s">
        <v>118</v>
      </c>
      <c r="Q4" t="s">
        <v>119</v>
      </c>
      <c r="R4" t="s">
        <v>120</v>
      </c>
      <c r="S4" t="s">
        <v>121</v>
      </c>
      <c r="AM4" s="2"/>
      <c r="AN4" s="2"/>
      <c r="AO4" s="2"/>
    </row>
    <row r="5" spans="1:41" ht="18">
      <c r="A5" s="10"/>
      <c r="B5" s="11"/>
      <c r="C5" s="11"/>
      <c r="D5" s="11"/>
      <c r="E5" s="12">
        <f>NPV(H25,H14:H23)</f>
        <v>924749.8045634863</v>
      </c>
      <c r="F5" s="12">
        <f>E5-B13</f>
        <v>-75250.19543651375</v>
      </c>
      <c r="G5" s="13">
        <f>NPV(N25,G14:G23)</f>
        <v>39762.05591613274</v>
      </c>
      <c r="H5" s="11"/>
      <c r="I5" s="14">
        <f>NPV(N25,N14:N23)</f>
        <v>685060.6124451064</v>
      </c>
      <c r="J5" s="46">
        <f>J6-I5</f>
        <v>64939.38755489362</v>
      </c>
      <c r="K5" s="11"/>
      <c r="L5" s="3">
        <f>L4-(B13-J6)</f>
        <v>-11265.090076224093</v>
      </c>
      <c r="M5" s="4" t="s">
        <v>136</v>
      </c>
      <c r="N5" s="50"/>
      <c r="O5" s="17"/>
      <c r="P5" s="10"/>
      <c r="Q5" s="18">
        <f>NPV(N25,Q14:Q23)</f>
        <v>-645298.5565289737</v>
      </c>
      <c r="R5" s="19">
        <f>NPV(H25,R14:R23)</f>
        <v>885244.886535542</v>
      </c>
      <c r="S5" s="5">
        <f>SUM(Q5:R5)</f>
        <v>239946.33000656823</v>
      </c>
      <c r="AM5" s="2"/>
      <c r="AN5" s="2"/>
      <c r="AO5" s="2"/>
    </row>
    <row r="6" spans="1:41" ht="15">
      <c r="A6" t="s">
        <v>0</v>
      </c>
      <c r="C6" s="20">
        <v>0.01</v>
      </c>
      <c r="E6" s="1" t="s">
        <v>1</v>
      </c>
      <c r="G6" s="20">
        <v>0.8</v>
      </c>
      <c r="I6" s="21" t="s">
        <v>2</v>
      </c>
      <c r="J6" s="1">
        <v>750000</v>
      </c>
      <c r="L6" s="3">
        <f>B13+L5</f>
        <v>988734.9099237759</v>
      </c>
      <c r="M6" s="4" t="s">
        <v>123</v>
      </c>
      <c r="T6" s="22"/>
      <c r="AM6" s="2"/>
      <c r="AN6" s="2"/>
      <c r="AO6" s="2"/>
    </row>
    <row r="7" spans="1:41" ht="15">
      <c r="A7" t="s">
        <v>3</v>
      </c>
      <c r="C7" s="20">
        <v>0.06</v>
      </c>
      <c r="E7" s="1" t="s">
        <v>4</v>
      </c>
      <c r="G7" s="23">
        <v>39</v>
      </c>
      <c r="H7" s="1" t="s">
        <v>5</v>
      </c>
      <c r="I7" s="21" t="s">
        <v>6</v>
      </c>
      <c r="J7" s="20">
        <v>0.055</v>
      </c>
      <c r="AL7" s="24"/>
      <c r="AM7" s="2"/>
      <c r="AN7" s="2"/>
      <c r="AO7" s="2"/>
    </row>
    <row r="8" spans="1:41" ht="15">
      <c r="A8" t="s">
        <v>7</v>
      </c>
      <c r="C8" s="20">
        <f>1-(1-0.35)*(1-0.15)</f>
        <v>0.4475</v>
      </c>
      <c r="E8" s="1" t="s">
        <v>8</v>
      </c>
      <c r="G8" s="20">
        <f>1-(1-0.15)*(1-0.15)</f>
        <v>0.2775000000000001</v>
      </c>
      <c r="I8" s="21" t="s">
        <v>9</v>
      </c>
      <c r="J8" s="1">
        <v>2000</v>
      </c>
      <c r="T8" s="25"/>
      <c r="U8" s="26"/>
      <c r="AL8" s="24"/>
      <c r="AM8" s="2"/>
      <c r="AN8" s="2"/>
      <c r="AO8" s="2"/>
    </row>
    <row r="9" spans="1:41" ht="15">
      <c r="A9" t="s">
        <v>124</v>
      </c>
      <c r="C9" s="20">
        <f>0.25</f>
        <v>0.25</v>
      </c>
      <c r="E9" s="1" t="s">
        <v>10</v>
      </c>
      <c r="G9" s="20">
        <v>0.25</v>
      </c>
      <c r="AL9" s="24"/>
      <c r="AM9" s="2"/>
      <c r="AN9" s="2"/>
      <c r="AO9" s="2"/>
    </row>
    <row r="10" spans="2:41" ht="15">
      <c r="B10" s="27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8" t="s">
        <v>23</v>
      </c>
      <c r="T10" s="29"/>
      <c r="AL10" s="24"/>
      <c r="AM10" s="2"/>
      <c r="AN10" s="2"/>
      <c r="AO10" s="2"/>
    </row>
    <row r="11" spans="6:41" ht="15">
      <c r="F11" s="21" t="s">
        <v>24</v>
      </c>
      <c r="H11" s="21" t="s">
        <v>25</v>
      </c>
      <c r="J11" s="21" t="s">
        <v>26</v>
      </c>
      <c r="L11" s="21" t="s">
        <v>27</v>
      </c>
      <c r="M11" s="21" t="s">
        <v>28</v>
      </c>
      <c r="N11" s="30" t="s">
        <v>29</v>
      </c>
      <c r="AL11" s="24"/>
      <c r="AM11" s="2"/>
      <c r="AN11" s="2"/>
      <c r="AO11" s="2"/>
    </row>
    <row r="12" spans="1:41" ht="15">
      <c r="A12" s="31" t="s">
        <v>30</v>
      </c>
      <c r="B12" s="21" t="s">
        <v>31</v>
      </c>
      <c r="C12" s="21" t="s">
        <v>32</v>
      </c>
      <c r="D12" s="21" t="s">
        <v>33</v>
      </c>
      <c r="E12" s="21" t="s">
        <v>34</v>
      </c>
      <c r="F12" s="21" t="s">
        <v>35</v>
      </c>
      <c r="G12" s="21" t="s">
        <v>36</v>
      </c>
      <c r="H12" s="21" t="s">
        <v>37</v>
      </c>
      <c r="I12" s="21" t="s">
        <v>38</v>
      </c>
      <c r="J12" s="21" t="s">
        <v>39</v>
      </c>
      <c r="K12" s="21" t="s">
        <v>40</v>
      </c>
      <c r="L12" s="21" t="s">
        <v>41</v>
      </c>
      <c r="M12" s="21" t="s">
        <v>42</v>
      </c>
      <c r="N12" s="21" t="s">
        <v>125</v>
      </c>
      <c r="P12" s="32" t="s">
        <v>126</v>
      </c>
      <c r="Q12" s="32" t="s">
        <v>127</v>
      </c>
      <c r="R12" s="32" t="s">
        <v>128</v>
      </c>
      <c r="S12" s="32" t="s">
        <v>44</v>
      </c>
      <c r="U12" s="26"/>
      <c r="AL12" s="24"/>
      <c r="AM12" s="2"/>
      <c r="AN12" s="2"/>
      <c r="AO12" s="2"/>
    </row>
    <row r="13" spans="1:41" ht="15">
      <c r="A13" s="33">
        <v>0</v>
      </c>
      <c r="B13" s="34">
        <v>1000000</v>
      </c>
      <c r="E13" s="34">
        <f>-B13</f>
        <v>-1000000</v>
      </c>
      <c r="H13" s="34">
        <f>-NPV(H25,H14:H23)</f>
        <v>-924749.8045634863</v>
      </c>
      <c r="I13" s="1">
        <f>J6</f>
        <v>750000</v>
      </c>
      <c r="J13" s="34">
        <f>-J6</f>
        <v>-750000</v>
      </c>
      <c r="L13" s="34">
        <f aca="true" t="shared" si="0" ref="L13:L23">E13-J13</f>
        <v>-250000</v>
      </c>
      <c r="M13" s="1">
        <f>-(B13-J6)</f>
        <v>-250000</v>
      </c>
      <c r="N13" s="35">
        <f>-NPV(N25,N14:N23)</f>
        <v>-685060.6124451064</v>
      </c>
      <c r="O13" s="35">
        <f>-(J6+E4)</f>
        <v>-750000</v>
      </c>
      <c r="P13" s="35"/>
      <c r="Q13" s="35">
        <f>-NPV(N25,Q14:Q23)</f>
        <v>645298.5565289737</v>
      </c>
      <c r="R13" s="35">
        <f>-NPV(H25,R14:R23)</f>
        <v>-885244.886535542</v>
      </c>
      <c r="S13" s="35">
        <f>-NPV(M25,S14:S23)</f>
        <v>-238734.90992377582</v>
      </c>
      <c r="AL13" s="24"/>
      <c r="AM13" s="2"/>
      <c r="AN13" s="2"/>
      <c r="AO13" s="2"/>
    </row>
    <row r="14" spans="1:41" ht="15">
      <c r="A14" s="33">
        <f aca="true" t="shared" si="1" ref="A14:A23">1+A13</f>
        <v>1</v>
      </c>
      <c r="B14" s="34">
        <f aca="true" t="shared" si="2" ref="B14:B23">(1+C$6)*B13</f>
        <v>1010000</v>
      </c>
      <c r="C14" s="1">
        <f aca="true" t="shared" si="3" ref="C14:C23">C$7*B13</f>
        <v>60000</v>
      </c>
      <c r="D14" s="1">
        <v>0</v>
      </c>
      <c r="E14" s="34">
        <f aca="true" t="shared" si="4" ref="E14:E22">C14-D14</f>
        <v>60000</v>
      </c>
      <c r="F14" s="1">
        <f aca="true" t="shared" si="5" ref="F14:F22">C$8*C14</f>
        <v>26850</v>
      </c>
      <c r="G14" s="1">
        <f>$B$13*$C$8*$G$6/$G$7</f>
        <v>9179.48717948718</v>
      </c>
      <c r="H14" s="34">
        <f aca="true" t="shared" si="6" ref="H14:H23">E14-F14+G14</f>
        <v>42329.48717948718</v>
      </c>
      <c r="I14" s="1">
        <f aca="true" t="shared" si="7" ref="I14:I23">I13-$J$8</f>
        <v>748000</v>
      </c>
      <c r="J14" s="1">
        <f aca="true" t="shared" si="8" ref="J14:J22">$J$7*I13+$J$8</f>
        <v>43250</v>
      </c>
      <c r="K14" s="1">
        <f aca="true" t="shared" si="9" ref="K14:K23">C$8*I13*J$7</f>
        <v>18459.375</v>
      </c>
      <c r="L14" s="1">
        <f t="shared" si="0"/>
        <v>16750</v>
      </c>
      <c r="M14" s="1">
        <f aca="true" t="shared" si="10" ref="M14:M23">H14-J14+K14</f>
        <v>17538.86217948718</v>
      </c>
      <c r="N14" s="35">
        <f aca="true" t="shared" si="11" ref="N14:N23">J14-K14</f>
        <v>24790.625</v>
      </c>
      <c r="O14" s="35">
        <f aca="true" t="shared" si="12" ref="O14:O23">J14</f>
        <v>43250</v>
      </c>
      <c r="P14" s="35">
        <f aca="true" t="shared" si="13" ref="P14:P23">J14-K14</f>
        <v>24790.625</v>
      </c>
      <c r="Q14" s="36">
        <f aca="true" t="shared" si="14" ref="Q14:Q23">G14-P14</f>
        <v>-15611.13782051282</v>
      </c>
      <c r="R14" s="37">
        <f aca="true" t="shared" si="15" ref="R14:R23">E14-F14</f>
        <v>33150</v>
      </c>
      <c r="S14" s="37">
        <f aca="true" t="shared" si="16" ref="S14:S23">SUM(Q14:R14)</f>
        <v>17538.86217948718</v>
      </c>
      <c r="U14" s="26"/>
      <c r="AL14" s="24"/>
      <c r="AM14" s="2"/>
      <c r="AN14" s="2"/>
      <c r="AO14" s="2"/>
    </row>
    <row r="15" spans="1:41" ht="15">
      <c r="A15" s="33">
        <f t="shared" si="1"/>
        <v>2</v>
      </c>
      <c r="B15" s="34">
        <f t="shared" si="2"/>
        <v>1020100</v>
      </c>
      <c r="C15" s="1">
        <f t="shared" si="3"/>
        <v>60600</v>
      </c>
      <c r="D15" s="1">
        <v>0</v>
      </c>
      <c r="E15" s="34">
        <f t="shared" si="4"/>
        <v>60600</v>
      </c>
      <c r="F15" s="1">
        <f t="shared" si="5"/>
        <v>27118.5</v>
      </c>
      <c r="G15" s="1">
        <f aca="true" t="shared" si="17" ref="G15:G22">B$13*C$8*G$6/G$7</f>
        <v>9179.48717948718</v>
      </c>
      <c r="H15" s="34">
        <f t="shared" si="6"/>
        <v>42660.98717948718</v>
      </c>
      <c r="I15" s="1">
        <f t="shared" si="7"/>
        <v>746000</v>
      </c>
      <c r="J15" s="1">
        <f t="shared" si="8"/>
        <v>43140</v>
      </c>
      <c r="K15" s="1">
        <f t="shared" si="9"/>
        <v>18410.15</v>
      </c>
      <c r="L15" s="1">
        <f t="shared" si="0"/>
        <v>17460</v>
      </c>
      <c r="M15" s="1">
        <f t="shared" si="10"/>
        <v>17931.13717948718</v>
      </c>
      <c r="N15" s="35">
        <f t="shared" si="11"/>
        <v>24729.85</v>
      </c>
      <c r="O15" s="35">
        <f t="shared" si="12"/>
        <v>43140</v>
      </c>
      <c r="P15" s="35">
        <f t="shared" si="13"/>
        <v>24729.85</v>
      </c>
      <c r="Q15" s="36">
        <f t="shared" si="14"/>
        <v>-15550.362820512819</v>
      </c>
      <c r="R15" s="37">
        <f t="shared" si="15"/>
        <v>33481.5</v>
      </c>
      <c r="S15" s="37">
        <f t="shared" si="16"/>
        <v>17931.13717948718</v>
      </c>
      <c r="AL15" s="24"/>
      <c r="AM15" s="2"/>
      <c r="AN15" s="2"/>
      <c r="AO15" s="2"/>
    </row>
    <row r="16" spans="1:41" ht="15">
      <c r="A16" s="33">
        <f t="shared" si="1"/>
        <v>3</v>
      </c>
      <c r="B16" s="34">
        <f t="shared" si="2"/>
        <v>1030301</v>
      </c>
      <c r="C16" s="1">
        <f t="shared" si="3"/>
        <v>61206</v>
      </c>
      <c r="D16" s="1">
        <v>50000</v>
      </c>
      <c r="E16" s="34">
        <f t="shared" si="4"/>
        <v>11206</v>
      </c>
      <c r="F16" s="1">
        <f t="shared" si="5"/>
        <v>27389.685</v>
      </c>
      <c r="G16" s="1">
        <f t="shared" si="17"/>
        <v>9179.48717948718</v>
      </c>
      <c r="H16" s="34">
        <f t="shared" si="6"/>
        <v>-7004.197820512822</v>
      </c>
      <c r="I16" s="1">
        <f t="shared" si="7"/>
        <v>744000</v>
      </c>
      <c r="J16" s="1">
        <f t="shared" si="8"/>
        <v>43030</v>
      </c>
      <c r="K16" s="1">
        <f t="shared" si="9"/>
        <v>18360.925</v>
      </c>
      <c r="L16" s="1">
        <f t="shared" si="0"/>
        <v>-31824</v>
      </c>
      <c r="M16" s="1">
        <f t="shared" si="10"/>
        <v>-31673.272820512826</v>
      </c>
      <c r="N16" s="35">
        <f t="shared" si="11"/>
        <v>24669.075</v>
      </c>
      <c r="O16" s="35">
        <f t="shared" si="12"/>
        <v>43030</v>
      </c>
      <c r="P16" s="35">
        <f t="shared" si="13"/>
        <v>24669.075</v>
      </c>
      <c r="Q16" s="36">
        <f t="shared" si="14"/>
        <v>-15489.587820512821</v>
      </c>
      <c r="R16" s="37">
        <f t="shared" si="15"/>
        <v>-16183.685000000001</v>
      </c>
      <c r="S16" s="37">
        <f t="shared" si="16"/>
        <v>-31673.272820512822</v>
      </c>
      <c r="AL16" s="24"/>
      <c r="AM16" s="2"/>
      <c r="AN16" s="2"/>
      <c r="AO16" s="2"/>
    </row>
    <row r="17" spans="1:41" ht="15">
      <c r="A17" s="33">
        <f t="shared" si="1"/>
        <v>4</v>
      </c>
      <c r="B17" s="34">
        <f t="shared" si="2"/>
        <v>1040604.01</v>
      </c>
      <c r="C17" s="1">
        <f t="shared" si="3"/>
        <v>61818.06</v>
      </c>
      <c r="D17" s="1">
        <v>0</v>
      </c>
      <c r="E17" s="34">
        <f t="shared" si="4"/>
        <v>61818.06</v>
      </c>
      <c r="F17" s="1">
        <f t="shared" si="5"/>
        <v>27663.58185</v>
      </c>
      <c r="G17" s="1">
        <f t="shared" si="17"/>
        <v>9179.48717948718</v>
      </c>
      <c r="H17" s="34">
        <f t="shared" si="6"/>
        <v>43333.965329487175</v>
      </c>
      <c r="I17" s="1">
        <f t="shared" si="7"/>
        <v>742000</v>
      </c>
      <c r="J17" s="1">
        <f t="shared" si="8"/>
        <v>42920</v>
      </c>
      <c r="K17" s="1">
        <f t="shared" si="9"/>
        <v>18311.7</v>
      </c>
      <c r="L17" s="1">
        <f t="shared" si="0"/>
        <v>18898.059999999998</v>
      </c>
      <c r="M17" s="1">
        <f t="shared" si="10"/>
        <v>18725.665329487176</v>
      </c>
      <c r="N17" s="35">
        <f t="shared" si="11"/>
        <v>24608.3</v>
      </c>
      <c r="O17" s="35">
        <f t="shared" si="12"/>
        <v>42920</v>
      </c>
      <c r="P17" s="35">
        <f t="shared" si="13"/>
        <v>24608.3</v>
      </c>
      <c r="Q17" s="36">
        <f t="shared" si="14"/>
        <v>-15428.81282051282</v>
      </c>
      <c r="R17" s="37">
        <f t="shared" si="15"/>
        <v>34154.478149999995</v>
      </c>
      <c r="S17" s="37">
        <f t="shared" si="16"/>
        <v>18725.665329487176</v>
      </c>
      <c r="AL17" s="24"/>
      <c r="AM17" s="2"/>
      <c r="AN17" s="2"/>
      <c r="AO17" s="2"/>
    </row>
    <row r="18" spans="1:41" ht="15">
      <c r="A18" s="33">
        <f t="shared" si="1"/>
        <v>5</v>
      </c>
      <c r="B18" s="34">
        <f t="shared" si="2"/>
        <v>1051010.0501</v>
      </c>
      <c r="C18" s="1">
        <f t="shared" si="3"/>
        <v>62436.2406</v>
      </c>
      <c r="D18" s="1">
        <v>0</v>
      </c>
      <c r="E18" s="34">
        <f t="shared" si="4"/>
        <v>62436.2406</v>
      </c>
      <c r="F18" s="1">
        <f t="shared" si="5"/>
        <v>27940.217668499998</v>
      </c>
      <c r="G18" s="1">
        <f t="shared" si="17"/>
        <v>9179.48717948718</v>
      </c>
      <c r="H18" s="34">
        <f t="shared" si="6"/>
        <v>43675.51011098718</v>
      </c>
      <c r="I18" s="1">
        <f t="shared" si="7"/>
        <v>740000</v>
      </c>
      <c r="J18" s="1">
        <f t="shared" si="8"/>
        <v>42810</v>
      </c>
      <c r="K18" s="1">
        <f t="shared" si="9"/>
        <v>18262.475</v>
      </c>
      <c r="L18" s="1">
        <f t="shared" si="0"/>
        <v>19626.240599999997</v>
      </c>
      <c r="M18" s="1">
        <f t="shared" si="10"/>
        <v>19127.98511098718</v>
      </c>
      <c r="N18" s="35">
        <f t="shared" si="11"/>
        <v>24547.525</v>
      </c>
      <c r="O18" s="35">
        <f t="shared" si="12"/>
        <v>42810</v>
      </c>
      <c r="P18" s="35">
        <f t="shared" si="13"/>
        <v>24547.525</v>
      </c>
      <c r="Q18" s="36">
        <f t="shared" si="14"/>
        <v>-15368.037820512822</v>
      </c>
      <c r="R18" s="37">
        <f t="shared" si="15"/>
        <v>34496.0229315</v>
      </c>
      <c r="S18" s="37">
        <f t="shared" si="16"/>
        <v>19127.98511098718</v>
      </c>
      <c r="AL18" s="24"/>
      <c r="AM18" s="2"/>
      <c r="AN18" s="2"/>
      <c r="AO18" s="2"/>
    </row>
    <row r="19" spans="1:41" ht="15">
      <c r="A19" s="33">
        <f t="shared" si="1"/>
        <v>6</v>
      </c>
      <c r="B19" s="34">
        <f t="shared" si="2"/>
        <v>1061520.150601</v>
      </c>
      <c r="C19" s="1">
        <f t="shared" si="3"/>
        <v>63060.603006000005</v>
      </c>
      <c r="D19" s="1">
        <v>0</v>
      </c>
      <c r="E19" s="34">
        <f t="shared" si="4"/>
        <v>63060.603006000005</v>
      </c>
      <c r="F19" s="1">
        <f t="shared" si="5"/>
        <v>28219.619845185003</v>
      </c>
      <c r="G19" s="1">
        <f t="shared" si="17"/>
        <v>9179.48717948718</v>
      </c>
      <c r="H19" s="34">
        <f t="shared" si="6"/>
        <v>44020.47034030218</v>
      </c>
      <c r="I19" s="1">
        <f t="shared" si="7"/>
        <v>738000</v>
      </c>
      <c r="J19" s="1">
        <f t="shared" si="8"/>
        <v>42700</v>
      </c>
      <c r="K19" s="1">
        <f t="shared" si="9"/>
        <v>18213.25</v>
      </c>
      <c r="L19" s="1">
        <f t="shared" si="0"/>
        <v>20360.603006000005</v>
      </c>
      <c r="M19" s="1">
        <f t="shared" si="10"/>
        <v>19533.720340302178</v>
      </c>
      <c r="N19" s="35">
        <f t="shared" si="11"/>
        <v>24486.75</v>
      </c>
      <c r="O19" s="35">
        <f t="shared" si="12"/>
        <v>42700</v>
      </c>
      <c r="P19" s="35">
        <f t="shared" si="13"/>
        <v>24486.75</v>
      </c>
      <c r="Q19" s="36">
        <f t="shared" si="14"/>
        <v>-15307.26282051282</v>
      </c>
      <c r="R19" s="37">
        <f t="shared" si="15"/>
        <v>34840.983160815</v>
      </c>
      <c r="S19" s="37">
        <f t="shared" si="16"/>
        <v>19533.720340302178</v>
      </c>
      <c r="W19" s="2"/>
      <c r="Y19" s="2"/>
      <c r="AA19" s="2"/>
      <c r="AL19" s="24"/>
      <c r="AM19" s="2"/>
      <c r="AN19" s="2"/>
      <c r="AO19" s="2"/>
    </row>
    <row r="20" spans="1:41" ht="15">
      <c r="A20" s="33">
        <f t="shared" si="1"/>
        <v>7</v>
      </c>
      <c r="B20" s="34">
        <f t="shared" si="2"/>
        <v>1072135.35210701</v>
      </c>
      <c r="C20" s="1">
        <f t="shared" si="3"/>
        <v>63691.20903606</v>
      </c>
      <c r="D20" s="1">
        <v>0</v>
      </c>
      <c r="E20" s="34">
        <f t="shared" si="4"/>
        <v>63691.20903606</v>
      </c>
      <c r="F20" s="1">
        <f t="shared" si="5"/>
        <v>28501.81604363685</v>
      </c>
      <c r="G20" s="1">
        <f t="shared" si="17"/>
        <v>9179.48717948718</v>
      </c>
      <c r="H20" s="34">
        <f t="shared" si="6"/>
        <v>44368.88017191033</v>
      </c>
      <c r="I20" s="1">
        <f t="shared" si="7"/>
        <v>736000</v>
      </c>
      <c r="J20" s="1">
        <f t="shared" si="8"/>
        <v>42590</v>
      </c>
      <c r="K20" s="1">
        <f t="shared" si="9"/>
        <v>18164.025</v>
      </c>
      <c r="L20" s="1">
        <f t="shared" si="0"/>
        <v>21101.209036059998</v>
      </c>
      <c r="M20" s="1">
        <f t="shared" si="10"/>
        <v>19942.90517191033</v>
      </c>
      <c r="N20" s="35">
        <f t="shared" si="11"/>
        <v>24425.975</v>
      </c>
      <c r="O20" s="35">
        <f t="shared" si="12"/>
        <v>42590</v>
      </c>
      <c r="P20" s="35">
        <f t="shared" si="13"/>
        <v>24425.975</v>
      </c>
      <c r="Q20" s="36">
        <f t="shared" si="14"/>
        <v>-15246.487820512819</v>
      </c>
      <c r="R20" s="37">
        <f t="shared" si="15"/>
        <v>35189.39299242315</v>
      </c>
      <c r="S20" s="37">
        <f t="shared" si="16"/>
        <v>19942.90517191033</v>
      </c>
      <c r="T20" s="24"/>
      <c r="W20" s="24"/>
      <c r="X20" s="2"/>
      <c r="Y20" s="2"/>
      <c r="AB20" s="2"/>
      <c r="AL20" s="24"/>
      <c r="AM20" s="2"/>
      <c r="AN20" s="2"/>
      <c r="AO20" s="2"/>
    </row>
    <row r="21" spans="1:41" ht="15">
      <c r="A21" s="33">
        <f t="shared" si="1"/>
        <v>8</v>
      </c>
      <c r="B21" s="34">
        <f t="shared" si="2"/>
        <v>1082856.7056280803</v>
      </c>
      <c r="C21" s="1">
        <f t="shared" si="3"/>
        <v>64328.1211264206</v>
      </c>
      <c r="D21" s="1">
        <v>50000</v>
      </c>
      <c r="E21" s="34">
        <f t="shared" si="4"/>
        <v>14328.1211264206</v>
      </c>
      <c r="F21" s="1">
        <f t="shared" si="5"/>
        <v>28786.83420407322</v>
      </c>
      <c r="G21" s="1">
        <f t="shared" si="17"/>
        <v>9179.48717948718</v>
      </c>
      <c r="H21" s="34">
        <f t="shared" si="6"/>
        <v>-5279.225898165441</v>
      </c>
      <c r="I21" s="1">
        <f t="shared" si="7"/>
        <v>734000</v>
      </c>
      <c r="J21" s="1">
        <f t="shared" si="8"/>
        <v>42480</v>
      </c>
      <c r="K21" s="1">
        <f t="shared" si="9"/>
        <v>18114.8</v>
      </c>
      <c r="L21" s="1">
        <f t="shared" si="0"/>
        <v>-28151.8788735794</v>
      </c>
      <c r="M21" s="1">
        <f t="shared" si="10"/>
        <v>-29644.425898165446</v>
      </c>
      <c r="N21" s="35">
        <f t="shared" si="11"/>
        <v>24365.2</v>
      </c>
      <c r="O21" s="35">
        <f t="shared" si="12"/>
        <v>42480</v>
      </c>
      <c r="P21" s="35">
        <f t="shared" si="13"/>
        <v>24365.2</v>
      </c>
      <c r="Q21" s="36">
        <f t="shared" si="14"/>
        <v>-15185.712820512821</v>
      </c>
      <c r="R21" s="37">
        <f t="shared" si="15"/>
        <v>-14458.713077652621</v>
      </c>
      <c r="S21" s="37">
        <f t="shared" si="16"/>
        <v>-29644.425898165442</v>
      </c>
      <c r="T21" s="24"/>
      <c r="W21" s="24"/>
      <c r="X21" s="2"/>
      <c r="Y21" s="2"/>
      <c r="AB21" s="2"/>
      <c r="AL21" s="24"/>
      <c r="AM21" s="2"/>
      <c r="AN21" s="2"/>
      <c r="AO21" s="2"/>
    </row>
    <row r="22" spans="1:41" ht="15">
      <c r="A22" s="33">
        <f t="shared" si="1"/>
        <v>9</v>
      </c>
      <c r="B22" s="34">
        <f t="shared" si="2"/>
        <v>1093685.272684361</v>
      </c>
      <c r="C22" s="1">
        <f t="shared" si="3"/>
        <v>64971.40233768481</v>
      </c>
      <c r="D22" s="1">
        <v>0</v>
      </c>
      <c r="E22" s="34">
        <f t="shared" si="4"/>
        <v>64971.40233768481</v>
      </c>
      <c r="F22" s="1">
        <f t="shared" si="5"/>
        <v>29074.702546113953</v>
      </c>
      <c r="G22" s="1">
        <f t="shared" si="17"/>
        <v>9179.48717948718</v>
      </c>
      <c r="H22" s="34">
        <f t="shared" si="6"/>
        <v>45076.18697105804</v>
      </c>
      <c r="I22" s="1">
        <f t="shared" si="7"/>
        <v>732000</v>
      </c>
      <c r="J22" s="1">
        <f t="shared" si="8"/>
        <v>42370</v>
      </c>
      <c r="K22" s="1">
        <f t="shared" si="9"/>
        <v>18065.575</v>
      </c>
      <c r="L22" s="1">
        <f t="shared" si="0"/>
        <v>22601.402337684813</v>
      </c>
      <c r="M22" s="1">
        <f t="shared" si="10"/>
        <v>20771.761971058044</v>
      </c>
      <c r="N22" s="35">
        <f t="shared" si="11"/>
        <v>24304.425</v>
      </c>
      <c r="O22" s="35">
        <f t="shared" si="12"/>
        <v>42370</v>
      </c>
      <c r="P22" s="35">
        <f t="shared" si="13"/>
        <v>24304.425</v>
      </c>
      <c r="Q22" s="36">
        <f t="shared" si="14"/>
        <v>-15124.93782051282</v>
      </c>
      <c r="R22" s="37">
        <f t="shared" si="15"/>
        <v>35896.69979157086</v>
      </c>
      <c r="S22" s="37">
        <f t="shared" si="16"/>
        <v>20771.761971058044</v>
      </c>
      <c r="T22" s="24"/>
      <c r="W22" s="24"/>
      <c r="X22" s="2"/>
      <c r="Y22" s="2"/>
      <c r="AL22" s="24"/>
      <c r="AM22" s="2"/>
      <c r="AN22" s="2"/>
      <c r="AO22" s="2"/>
    </row>
    <row r="23" spans="1:41" ht="15">
      <c r="A23" s="33">
        <f t="shared" si="1"/>
        <v>10</v>
      </c>
      <c r="B23" s="34">
        <f t="shared" si="2"/>
        <v>1104622.1254112048</v>
      </c>
      <c r="C23" s="1">
        <f t="shared" si="3"/>
        <v>65621.11636106166</v>
      </c>
      <c r="D23" s="1">
        <v>0</v>
      </c>
      <c r="E23" s="34">
        <f>B23+C23-D23</f>
        <v>1170243.2417722663</v>
      </c>
      <c r="F23" s="1">
        <f>C$8*C23+G$8*(B23-(B13+SUM(D14:D23)))</f>
        <v>30648.08937318442</v>
      </c>
      <c r="G23" s="1">
        <f>B$13*($C$8*$G$6/$G$7-10*$G$9*$G$6/$G$7)</f>
        <v>-42102.5641025641</v>
      </c>
      <c r="H23" s="34">
        <f t="shared" si="6"/>
        <v>1097492.588296518</v>
      </c>
      <c r="I23" s="1">
        <f t="shared" si="7"/>
        <v>730000</v>
      </c>
      <c r="J23" s="1">
        <f>$J$7*I22+I22</f>
        <v>772260</v>
      </c>
      <c r="K23" s="1">
        <f t="shared" si="9"/>
        <v>18016.35</v>
      </c>
      <c r="L23" s="1">
        <f t="shared" si="0"/>
        <v>397983.24177226634</v>
      </c>
      <c r="M23" s="1">
        <f t="shared" si="10"/>
        <v>343248.93829651794</v>
      </c>
      <c r="N23" s="35">
        <f t="shared" si="11"/>
        <v>754243.65</v>
      </c>
      <c r="O23" s="35">
        <f t="shared" si="12"/>
        <v>772260</v>
      </c>
      <c r="P23" s="35">
        <f t="shared" si="13"/>
        <v>754243.65</v>
      </c>
      <c r="Q23" s="36">
        <f t="shared" si="14"/>
        <v>-796346.2141025641</v>
      </c>
      <c r="R23" s="37">
        <f t="shared" si="15"/>
        <v>1139595.152399082</v>
      </c>
      <c r="S23" s="37">
        <f t="shared" si="16"/>
        <v>343248.9382965178</v>
      </c>
      <c r="T23" s="24"/>
      <c r="W23" s="24"/>
      <c r="X23" s="2"/>
      <c r="Y23" s="2"/>
      <c r="AL23" s="24"/>
      <c r="AM23" s="2"/>
      <c r="AN23" s="2"/>
      <c r="AO23" s="2"/>
    </row>
    <row r="24" spans="13:41" ht="15">
      <c r="M24" s="1"/>
      <c r="AL24" s="24"/>
      <c r="AM24" s="2"/>
      <c r="AN24" s="2"/>
      <c r="AO24" s="2"/>
    </row>
    <row r="25" spans="1:41" ht="15">
      <c r="A25" s="20" t="s">
        <v>45</v>
      </c>
      <c r="D25" s="20"/>
      <c r="E25" s="20">
        <f>IRR(E13:E23,0.1)</f>
        <v>0.06042883175756719</v>
      </c>
      <c r="F25" s="20"/>
      <c r="G25" s="20"/>
      <c r="H25" s="20">
        <f>'14.3APVexmplMarginalInvestor'!H25</f>
        <v>0.04756807620505432</v>
      </c>
      <c r="J25" s="20">
        <f>IRR(J13:J23,0.1)</f>
        <v>0.05499999999999994</v>
      </c>
      <c r="K25" s="20"/>
      <c r="L25" s="20">
        <f>IRR(L13:L23,0.1)</f>
        <v>0.07397085670193504</v>
      </c>
      <c r="M25" s="20">
        <f>'14.3APVexmplMarginalInvestor'!M25</f>
        <v>0.06437605624343412</v>
      </c>
      <c r="N25" s="20">
        <f>J7*(1-C9)</f>
        <v>0.04125</v>
      </c>
      <c r="O25" s="20">
        <f>IRR(O13:O23,0.1)</f>
        <v>0.05499999999999994</v>
      </c>
      <c r="P25" s="20"/>
      <c r="Q25" s="20"/>
      <c r="R25" s="20">
        <f>IRR(R13:R23,0.1)</f>
        <v>0.047568076205060095</v>
      </c>
      <c r="S25" s="20"/>
      <c r="V25" s="38"/>
      <c r="AL25" s="24"/>
      <c r="AM25" s="2"/>
      <c r="AN25" s="2"/>
      <c r="AO25" s="2"/>
    </row>
    <row r="26" spans="2:41" ht="15">
      <c r="B26"/>
      <c r="C26"/>
      <c r="D26"/>
      <c r="E26"/>
      <c r="F26"/>
      <c r="G26"/>
      <c r="H26"/>
      <c r="J26"/>
      <c r="K26"/>
      <c r="L26"/>
      <c r="O26" s="2"/>
      <c r="P26" s="2"/>
      <c r="Q26" s="2"/>
      <c r="R26" s="2"/>
      <c r="S26" s="2"/>
      <c r="V26" s="38"/>
      <c r="W26" s="31"/>
      <c r="AN26" s="2"/>
      <c r="AO26" s="2"/>
    </row>
    <row r="27" spans="2:41" ht="15">
      <c r="B27"/>
      <c r="C27"/>
      <c r="D27"/>
      <c r="E27"/>
      <c r="F27"/>
      <c r="G27"/>
      <c r="H27"/>
      <c r="J27"/>
      <c r="K27"/>
      <c r="L27"/>
      <c r="O27" s="2"/>
      <c r="P27" s="2"/>
      <c r="Q27" s="2"/>
      <c r="R27" s="2"/>
      <c r="S27" s="2"/>
      <c r="T27" s="24"/>
      <c r="V27" s="24"/>
      <c r="W27" s="2"/>
      <c r="AN27" s="2"/>
      <c r="AO27" s="2"/>
    </row>
    <row r="28" spans="1:41" ht="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1"/>
      <c r="N28" s="51"/>
      <c r="O28" s="51"/>
      <c r="T28" s="24"/>
      <c r="V28" s="24"/>
      <c r="W28" s="2"/>
      <c r="AN28" s="2"/>
      <c r="AO28" s="2"/>
    </row>
    <row r="29" spans="1:41" ht="15">
      <c r="A29" s="51"/>
      <c r="B29" s="53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4"/>
      <c r="N29" s="54"/>
      <c r="O29" s="51"/>
      <c r="T29" s="24"/>
      <c r="V29" s="24"/>
      <c r="W29" s="2"/>
      <c r="AN29" s="2"/>
      <c r="AO29" s="2"/>
    </row>
    <row r="30" spans="1:41" ht="1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4"/>
      <c r="N30" s="54"/>
      <c r="O30" s="51"/>
      <c r="T30" s="24"/>
      <c r="V30" s="24"/>
      <c r="W30" s="2"/>
      <c r="AN30" s="2"/>
      <c r="AO30" s="2"/>
    </row>
    <row r="31" spans="1:41" ht="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1"/>
      <c r="N31" s="51"/>
      <c r="O31" s="51"/>
      <c r="T31" s="24"/>
      <c r="V31" s="24"/>
      <c r="W31" s="2"/>
      <c r="AN31" s="2"/>
      <c r="AO31" s="2"/>
    </row>
    <row r="32" spans="1:41" ht="15">
      <c r="A32" s="5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1"/>
      <c r="T32" s="24"/>
      <c r="V32" s="24"/>
      <c r="W32" s="2"/>
      <c r="AN32" s="2"/>
      <c r="AO32" s="2"/>
    </row>
    <row r="33" spans="1:41" ht="15">
      <c r="A33" s="54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2"/>
      <c r="N33" s="52"/>
      <c r="O33" s="51"/>
      <c r="T33" s="24"/>
      <c r="V33" s="24"/>
      <c r="W33" s="2"/>
      <c r="AN33" s="2"/>
      <c r="AO33" s="2"/>
    </row>
    <row r="34" spans="1:41" ht="15">
      <c r="A34" s="5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1"/>
      <c r="T34" s="24"/>
      <c r="V34" s="24"/>
      <c r="W34" s="2"/>
      <c r="AN34" s="2"/>
      <c r="AO34" s="2"/>
    </row>
    <row r="35" spans="1:41" ht="15">
      <c r="A35" s="5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1"/>
      <c r="T35" s="24"/>
      <c r="V35" s="24"/>
      <c r="W35" s="2"/>
      <c r="AN35" s="2"/>
      <c r="AO35" s="2"/>
    </row>
    <row r="36" spans="1:43" ht="15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2"/>
      <c r="N36" s="52"/>
      <c r="O36" s="51"/>
      <c r="T36" s="24"/>
      <c r="V36" s="24"/>
      <c r="W36" s="2"/>
      <c r="AN36" s="2"/>
      <c r="AO36" s="2"/>
      <c r="AP36" s="2"/>
      <c r="AQ36" s="24"/>
    </row>
    <row r="37" spans="1:43" ht="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1"/>
      <c r="T37" s="24"/>
      <c r="V37" s="24"/>
      <c r="W37" s="2"/>
      <c r="AN37" s="2"/>
      <c r="AO37" s="2"/>
      <c r="AP37" s="2"/>
      <c r="AQ37" s="24"/>
    </row>
    <row r="38" spans="1:44" ht="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1"/>
      <c r="T38" s="24"/>
      <c r="V38" s="24"/>
      <c r="W38" s="2"/>
      <c r="AN38" s="2"/>
      <c r="AO38" s="2"/>
      <c r="AR38" s="28"/>
    </row>
    <row r="39" spans="1:41" ht="15">
      <c r="A39" s="5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1"/>
      <c r="T39" s="24"/>
      <c r="V39" s="24"/>
      <c r="W39" s="2"/>
      <c r="AN39" s="2"/>
      <c r="AO39" s="2"/>
    </row>
    <row r="40" spans="1:41" ht="15">
      <c r="A40" s="54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2"/>
      <c r="N40" s="52"/>
      <c r="O40" s="51"/>
      <c r="T40" s="24"/>
      <c r="V40" s="24"/>
      <c r="W40" s="2"/>
      <c r="AN40" s="2"/>
      <c r="AO40" s="2"/>
    </row>
    <row r="41" spans="1:41" ht="15">
      <c r="A41" s="5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2"/>
      <c r="N41" s="52"/>
      <c r="O41" s="51"/>
      <c r="T41" s="24"/>
      <c r="V41" s="24"/>
      <c r="W41" s="2"/>
      <c r="AN41" s="2"/>
      <c r="AO41" s="2"/>
    </row>
    <row r="42" spans="1:41" ht="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/>
      <c r="T42" s="24"/>
      <c r="V42" s="24"/>
      <c r="W42" s="2"/>
      <c r="AN42" s="2"/>
      <c r="AO42" s="2"/>
    </row>
    <row r="43" spans="1:41" ht="15">
      <c r="A43" s="5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1"/>
      <c r="T43" s="24"/>
      <c r="V43" s="24"/>
      <c r="W43" s="2"/>
      <c r="AN43" s="2"/>
      <c r="AO43" s="2"/>
    </row>
    <row r="44" spans="1:41" ht="15">
      <c r="A44" s="5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2"/>
      <c r="N44" s="52"/>
      <c r="O44" s="51"/>
      <c r="T44" s="24"/>
      <c r="V44" s="24"/>
      <c r="W44" s="2"/>
      <c r="AN44" s="2"/>
      <c r="AO44" s="2"/>
    </row>
    <row r="45" spans="1:41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1"/>
      <c r="T45" s="24"/>
      <c r="V45" s="24"/>
      <c r="W45" s="2"/>
      <c r="AN45" s="2"/>
      <c r="AO45" s="2"/>
    </row>
    <row r="46" spans="1:41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/>
      <c r="T46" s="24"/>
      <c r="V46" s="24"/>
      <c r="W46" s="2"/>
      <c r="AN46" s="2"/>
      <c r="AO46" s="2"/>
    </row>
    <row r="47" spans="1:41" ht="22.5">
      <c r="A47" s="55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1"/>
      <c r="T47" s="24"/>
      <c r="V47" s="24"/>
      <c r="AN47" s="2"/>
      <c r="AO47" s="2"/>
    </row>
    <row r="48" spans="1:41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1"/>
      <c r="T48" s="24"/>
      <c r="V48" s="24"/>
      <c r="AN48" s="2"/>
      <c r="AO48" s="2"/>
    </row>
    <row r="49" spans="1:41" ht="15">
      <c r="A49" s="51"/>
      <c r="B49" s="52"/>
      <c r="C49" s="56"/>
      <c r="D49" s="52"/>
      <c r="E49" s="51"/>
      <c r="F49" s="53"/>
      <c r="G49" s="53"/>
      <c r="H49" s="51"/>
      <c r="I49" s="52"/>
      <c r="J49" s="52"/>
      <c r="K49" s="52"/>
      <c r="L49" s="52"/>
      <c r="M49" s="52"/>
      <c r="N49" s="52"/>
      <c r="O49" s="51"/>
      <c r="V49" s="24"/>
      <c r="AN49" s="2"/>
      <c r="AO49" s="2"/>
    </row>
    <row r="50" spans="1:41" ht="15">
      <c r="A50" s="51"/>
      <c r="B50" s="52"/>
      <c r="C50" s="52"/>
      <c r="D50" s="52"/>
      <c r="E50" s="53"/>
      <c r="F50" s="57"/>
      <c r="G50" s="57"/>
      <c r="H50" s="51"/>
      <c r="I50" s="52"/>
      <c r="J50" s="52"/>
      <c r="K50" s="52"/>
      <c r="L50" s="52"/>
      <c r="M50" s="52"/>
      <c r="N50" s="52"/>
      <c r="O50" s="51"/>
      <c r="AN50" s="2"/>
      <c r="AO50" s="2"/>
    </row>
    <row r="51" spans="1:41" ht="15">
      <c r="A51" s="51"/>
      <c r="B51" s="52"/>
      <c r="C51" s="57"/>
      <c r="D51" s="52"/>
      <c r="E51" s="53"/>
      <c r="F51" s="57"/>
      <c r="G51" s="57"/>
      <c r="H51" s="51"/>
      <c r="I51" s="52"/>
      <c r="J51" s="52"/>
      <c r="K51" s="52"/>
      <c r="L51" s="52"/>
      <c r="M51" s="52"/>
      <c r="N51" s="52"/>
      <c r="O51" s="51"/>
      <c r="AN51" s="2"/>
      <c r="AO51" s="2"/>
    </row>
    <row r="52" spans="1:41" ht="15">
      <c r="A52" s="51"/>
      <c r="B52" s="52"/>
      <c r="C52" s="57"/>
      <c r="D52" s="52"/>
      <c r="E52" s="53"/>
      <c r="F52" s="58"/>
      <c r="G52" s="58"/>
      <c r="H52" s="52"/>
      <c r="I52" s="52"/>
      <c r="J52" s="52"/>
      <c r="K52" s="52"/>
      <c r="L52" s="52"/>
      <c r="M52" s="52"/>
      <c r="N52" s="52"/>
      <c r="O52" s="51"/>
      <c r="AN52" s="2"/>
      <c r="AO52" s="2"/>
    </row>
    <row r="53" spans="1:41" ht="15">
      <c r="A53" s="51"/>
      <c r="B53" s="52"/>
      <c r="C53" s="57"/>
      <c r="D53" s="52"/>
      <c r="E53" s="52"/>
      <c r="F53" s="52"/>
      <c r="G53" s="52"/>
      <c r="H53" s="52"/>
      <c r="I53" s="52"/>
      <c r="J53" s="52"/>
      <c r="K53" s="52"/>
      <c r="L53" s="52"/>
      <c r="M53" s="51"/>
      <c r="N53" s="51"/>
      <c r="O53" s="51"/>
      <c r="AL53" s="1"/>
      <c r="AN53" s="2"/>
      <c r="AO53" s="2"/>
    </row>
    <row r="54" spans="1:41" ht="15">
      <c r="A54" s="52"/>
      <c r="B54" s="52"/>
      <c r="C54" s="52"/>
      <c r="D54" s="52"/>
      <c r="E54" s="52"/>
      <c r="F54" s="52"/>
      <c r="G54" s="52"/>
      <c r="H54" s="51"/>
      <c r="I54" s="52"/>
      <c r="J54" s="52"/>
      <c r="K54" s="52"/>
      <c r="L54" s="52"/>
      <c r="M54" s="51"/>
      <c r="N54" s="51"/>
      <c r="O54" s="51"/>
      <c r="AL54" s="1"/>
      <c r="AN54" s="24"/>
      <c r="AO54" s="24"/>
    </row>
    <row r="55" spans="1:41" ht="15">
      <c r="A55" s="51"/>
      <c r="B55" s="59"/>
      <c r="C55" s="52"/>
      <c r="D55" s="52"/>
      <c r="E55" s="52"/>
      <c r="F55" s="52"/>
      <c r="G55" s="52"/>
      <c r="H55" s="52"/>
      <c r="I55" s="52"/>
      <c r="J55" s="52"/>
      <c r="K55" s="53"/>
      <c r="L55" s="53"/>
      <c r="M55" s="53"/>
      <c r="N55" s="53"/>
      <c r="O55" s="51"/>
      <c r="AL55" s="1"/>
      <c r="AN55" s="2"/>
      <c r="AO55" s="2"/>
    </row>
    <row r="56" spans="1:41" ht="15">
      <c r="A56" s="51"/>
      <c r="B56" s="60"/>
      <c r="C56" s="60"/>
      <c r="D56" s="60"/>
      <c r="E56" s="60"/>
      <c r="F56" s="60"/>
      <c r="G56" s="60"/>
      <c r="H56" s="60"/>
      <c r="I56" s="60"/>
      <c r="J56" s="60"/>
      <c r="K56" s="53"/>
      <c r="L56" s="53"/>
      <c r="M56" s="53"/>
      <c r="N56" s="53"/>
      <c r="O56" s="51"/>
      <c r="AL56" s="1"/>
      <c r="AN56" s="24"/>
      <c r="AO56" s="24"/>
    </row>
    <row r="57" spans="1:41" ht="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1"/>
      <c r="AL57" s="1"/>
      <c r="AN57" s="2"/>
      <c r="AO57" s="2"/>
    </row>
    <row r="58" spans="1:41" ht="15">
      <c r="A58" s="5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2"/>
      <c r="N58" s="52"/>
      <c r="O58" s="51"/>
      <c r="AL58" s="1"/>
      <c r="AN58" s="2"/>
      <c r="AO58" s="2"/>
    </row>
    <row r="59" spans="1:42" ht="15">
      <c r="A59" s="5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2"/>
      <c r="N59" s="52"/>
      <c r="O59" s="51"/>
      <c r="AL59" s="1"/>
      <c r="AN59" s="24"/>
      <c r="AO59" s="2"/>
      <c r="AP59" s="24"/>
    </row>
    <row r="60" spans="1:42" ht="15">
      <c r="A60" s="5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1"/>
      <c r="AL60" s="1"/>
      <c r="AN60" s="24"/>
      <c r="AO60" s="2"/>
      <c r="AP60" s="24"/>
    </row>
    <row r="61" spans="1:42" ht="15">
      <c r="A61" s="5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2"/>
      <c r="N61" s="52"/>
      <c r="O61" s="51"/>
      <c r="AL61" s="1"/>
      <c r="AN61" s="24"/>
      <c r="AO61" s="2"/>
      <c r="AP61" s="24"/>
    </row>
    <row r="62" spans="1:41" ht="15">
      <c r="A62" s="5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2"/>
      <c r="N62" s="52"/>
      <c r="O62" s="51"/>
      <c r="AL62" s="1"/>
      <c r="AN62" s="2"/>
      <c r="AO62" s="2"/>
    </row>
    <row r="63" spans="1:43" ht="15">
      <c r="A63" s="5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2"/>
      <c r="N63" s="52"/>
      <c r="O63" s="51"/>
      <c r="AL63" s="1"/>
      <c r="AN63" s="24"/>
      <c r="AO63" s="2"/>
      <c r="AP63" s="24"/>
      <c r="AQ63" s="2"/>
    </row>
    <row r="64" spans="1:42" ht="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1"/>
      <c r="AL64" s="1"/>
      <c r="AN64" s="24"/>
      <c r="AO64" s="2"/>
      <c r="AP64" s="24"/>
    </row>
    <row r="65" spans="1:42" ht="1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1"/>
      <c r="AL65" s="1"/>
      <c r="AN65" s="24"/>
      <c r="AO65" s="2"/>
      <c r="AP65" s="24"/>
    </row>
    <row r="66" spans="1:42" ht="15">
      <c r="A66" s="54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1"/>
      <c r="AL66" s="1"/>
      <c r="AN66" s="24"/>
      <c r="AO66" s="2"/>
      <c r="AP66" s="24"/>
    </row>
    <row r="67" spans="1:42" ht="15">
      <c r="A67" s="5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2"/>
      <c r="N67" s="52"/>
      <c r="O67" s="51"/>
      <c r="AL67" s="1"/>
      <c r="AN67" s="2"/>
      <c r="AO67" s="2"/>
      <c r="AP67" s="24"/>
    </row>
    <row r="68" spans="1:41" ht="15">
      <c r="A68" s="54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  <c r="M68" s="52"/>
      <c r="N68" s="52"/>
      <c r="O68" s="51"/>
      <c r="AL68" s="1"/>
      <c r="AN68" s="2"/>
      <c r="AO68" s="2"/>
    </row>
    <row r="69" spans="1:41" ht="15">
      <c r="A69" s="54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2"/>
      <c r="N69" s="52"/>
      <c r="O69" s="51"/>
      <c r="AL69" s="1"/>
      <c r="AN69" s="2"/>
      <c r="AO69" s="2"/>
    </row>
    <row r="70" spans="1:41" ht="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1"/>
      <c r="AL70" s="1"/>
      <c r="AN70" s="2"/>
      <c r="AO70" s="2"/>
    </row>
    <row r="71" spans="1:41" ht="15">
      <c r="A71" s="5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2"/>
      <c r="N71" s="52"/>
      <c r="O71" s="51"/>
      <c r="AL71" s="1"/>
      <c r="AN71" s="2"/>
      <c r="AO71" s="2"/>
    </row>
    <row r="72" spans="1:41" ht="15">
      <c r="A72" s="54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2"/>
      <c r="N72" s="52"/>
      <c r="O72" s="51"/>
      <c r="AL72" s="1"/>
      <c r="AN72" s="2"/>
      <c r="AO72" s="2"/>
    </row>
    <row r="73" spans="1:41" ht="1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1"/>
      <c r="AL73" s="1"/>
      <c r="AN73" s="2"/>
      <c r="AO73" s="2"/>
    </row>
    <row r="74" spans="1:19" ht="1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1"/>
      <c r="Q74" s="1"/>
      <c r="R74" s="1"/>
      <c r="S74" s="1"/>
    </row>
    <row r="75" spans="1:15" ht="15">
      <c r="A75" s="52"/>
      <c r="B75" s="52"/>
      <c r="C75" s="52"/>
      <c r="D75" s="52"/>
      <c r="E75" s="52"/>
      <c r="F75" s="52"/>
      <c r="G75" s="52"/>
      <c r="H75" s="51"/>
      <c r="I75" s="52"/>
      <c r="J75" s="52"/>
      <c r="K75" s="52"/>
      <c r="L75" s="52"/>
      <c r="M75" s="51"/>
      <c r="N75" s="51"/>
      <c r="O75" s="51"/>
    </row>
    <row r="76" spans="1:15" ht="15">
      <c r="A76" s="51"/>
      <c r="B76" s="59"/>
      <c r="C76" s="52"/>
      <c r="D76" s="52"/>
      <c r="E76" s="52"/>
      <c r="F76" s="52"/>
      <c r="G76" s="52"/>
      <c r="H76" s="52"/>
      <c r="I76" s="52"/>
      <c r="J76" s="52"/>
      <c r="K76" s="53"/>
      <c r="L76" s="53"/>
      <c r="M76" s="54"/>
      <c r="N76" s="54"/>
      <c r="O76" s="51"/>
    </row>
    <row r="77" spans="1:15" ht="15">
      <c r="A77" s="51"/>
      <c r="B77" s="60"/>
      <c r="C77" s="60"/>
      <c r="D77" s="60"/>
      <c r="E77" s="60"/>
      <c r="F77" s="60"/>
      <c r="G77" s="60"/>
      <c r="H77" s="60"/>
      <c r="I77" s="60"/>
      <c r="J77" s="60"/>
      <c r="K77" s="53"/>
      <c r="L77" s="53"/>
      <c r="M77" s="54"/>
      <c r="N77" s="54"/>
      <c r="O77" s="51"/>
    </row>
    <row r="78" spans="1:15" ht="1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1"/>
    </row>
    <row r="79" spans="1:15" ht="15">
      <c r="A79" s="54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2"/>
      <c r="N79" s="52"/>
      <c r="O79" s="51"/>
    </row>
    <row r="80" spans="1:15" ht="15">
      <c r="A80" s="54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1"/>
    </row>
    <row r="81" spans="1:15" ht="15">
      <c r="A81" s="54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2"/>
      <c r="N81" s="52"/>
      <c r="O81" s="51"/>
    </row>
    <row r="82" spans="1:15" ht="15">
      <c r="A82" s="6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2"/>
      <c r="N82" s="52"/>
      <c r="O82" s="51"/>
    </row>
    <row r="83" spans="1:15" ht="15">
      <c r="A83" s="5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2"/>
      <c r="N83" s="52"/>
      <c r="O83" s="51"/>
    </row>
    <row r="84" spans="1:256" ht="15">
      <c r="A84" s="5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2"/>
      <c r="N84" s="52"/>
      <c r="O84" s="52"/>
      <c r="P84" s="1"/>
      <c r="Q84" s="1"/>
      <c r="R84" s="1"/>
      <c r="S84" s="1"/>
      <c r="T84" s="1"/>
      <c r="U84" s="20"/>
      <c r="V84" s="20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15" ht="15">
      <c r="A85" s="54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2"/>
      <c r="N85" s="52"/>
      <c r="O85" s="51"/>
    </row>
    <row r="86" spans="1:15" ht="15">
      <c r="A86" s="54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1"/>
    </row>
    <row r="87" spans="1:15" ht="15">
      <c r="A87" s="54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4"/>
      <c r="M87" s="52"/>
      <c r="N87" s="52"/>
      <c r="O87" s="51"/>
    </row>
    <row r="88" spans="1:15" ht="1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1"/>
      <c r="N88" s="51"/>
      <c r="O88" s="51"/>
    </row>
    <row r="89" spans="1:15" ht="1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1"/>
      <c r="N89" s="51"/>
      <c r="O89" s="51"/>
    </row>
    <row r="90" spans="1:15" ht="1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1"/>
      <c r="N90" s="51"/>
      <c r="O90" s="51"/>
    </row>
    <row r="91" spans="1:15" ht="1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1"/>
      <c r="N91" s="51"/>
      <c r="O91" s="51"/>
    </row>
    <row r="92" spans="1:15" ht="1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1"/>
      <c r="N92" s="51"/>
      <c r="O92" s="51"/>
    </row>
    <row r="93" spans="1:15" ht="1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1"/>
      <c r="N93" s="51"/>
      <c r="O93" s="51"/>
    </row>
    <row r="94" spans="1:15" ht="1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1"/>
      <c r="N94" s="51"/>
      <c r="O94" s="51"/>
    </row>
    <row r="95" spans="1:15" ht="1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1"/>
      <c r="N95" s="51"/>
      <c r="O95" s="51"/>
    </row>
    <row r="96" spans="1:15" ht="1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1"/>
      <c r="N96" s="51"/>
      <c r="O96" s="51"/>
    </row>
    <row r="97" spans="1:15" ht="1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1"/>
      <c r="N97" s="51"/>
      <c r="O97" s="51"/>
    </row>
    <row r="98" spans="1:15" ht="1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1"/>
      <c r="N98" s="51"/>
      <c r="O98" s="51"/>
    </row>
    <row r="99" spans="1:15" ht="1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1"/>
      <c r="N99" s="51"/>
      <c r="O99" s="51"/>
    </row>
    <row r="100" spans="1:15" ht="1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1"/>
      <c r="N100" s="51"/>
      <c r="O100" s="51"/>
    </row>
    <row r="101" spans="1:15" ht="1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1"/>
      <c r="N101" s="51"/>
      <c r="O101" s="51"/>
    </row>
    <row r="102" spans="1:15" ht="1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1"/>
      <c r="N102" s="51"/>
      <c r="O102" s="51"/>
    </row>
    <row r="103" spans="1:15" ht="1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1"/>
      <c r="N103" s="51"/>
      <c r="O103" s="51"/>
    </row>
    <row r="104" spans="1:15" ht="1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1"/>
      <c r="N104" s="51"/>
      <c r="O104" s="51"/>
    </row>
    <row r="105" spans="1:15" ht="1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1"/>
      <c r="N105" s="51"/>
      <c r="O105" s="51"/>
    </row>
    <row r="106" spans="1:15" ht="1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1"/>
      <c r="N106" s="51"/>
      <c r="O106" s="51"/>
    </row>
    <row r="107" spans="1:15" ht="1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1"/>
      <c r="O107" s="51"/>
    </row>
    <row r="108" spans="1:15" ht="1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1"/>
      <c r="N108" s="51"/>
      <c r="O108" s="51"/>
    </row>
    <row r="109" spans="1:15" ht="1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1"/>
      <c r="N109" s="51"/>
      <c r="O109" s="51"/>
    </row>
    <row r="110" spans="1:15" ht="1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1"/>
      <c r="N110" s="51"/>
      <c r="O110" s="51"/>
    </row>
    <row r="111" spans="1:15" ht="1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1"/>
      <c r="N111" s="51"/>
      <c r="O111" s="51"/>
    </row>
    <row r="112" spans="1:15" ht="1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1"/>
      <c r="N112" s="51"/>
      <c r="O112" s="51"/>
    </row>
    <row r="113" spans="1:15" ht="1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1"/>
      <c r="N113" s="51"/>
      <c r="O113" s="51"/>
    </row>
    <row r="114" spans="1:15" ht="1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1"/>
      <c r="N114" s="51"/>
      <c r="O114" s="51"/>
    </row>
    <row r="115" spans="1:15" ht="1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1"/>
      <c r="N115" s="51"/>
      <c r="O115" s="51"/>
    </row>
    <row r="116" spans="1:15" ht="1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1"/>
      <c r="N116" s="51"/>
      <c r="O116" s="51"/>
    </row>
    <row r="117" spans="1:15" ht="1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1"/>
      <c r="N117" s="51"/>
      <c r="O117" s="51"/>
    </row>
    <row r="118" spans="1:15" ht="1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1"/>
      <c r="N118" s="51"/>
      <c r="O118" s="51"/>
    </row>
    <row r="119" spans="1:15" ht="1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1"/>
      <c r="N119" s="51"/>
      <c r="O119" s="51"/>
    </row>
    <row r="120" spans="1:15" ht="1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1"/>
      <c r="N120" s="51"/>
      <c r="O120" s="51"/>
    </row>
    <row r="121" spans="1:15" ht="1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1"/>
      <c r="N121" s="51"/>
      <c r="O121" s="51"/>
    </row>
    <row r="122" spans="1:15" ht="1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1"/>
      <c r="N122" s="51"/>
      <c r="O122" s="51"/>
    </row>
    <row r="123" spans="1:15" ht="1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1"/>
      <c r="N123" s="51"/>
      <c r="O123" s="51"/>
    </row>
    <row r="8162" spans="2:12" ht="15">
      <c r="B8162"/>
      <c r="C8162"/>
      <c r="D8162"/>
      <c r="E8162"/>
      <c r="F8162"/>
      <c r="G8162"/>
      <c r="H8162"/>
      <c r="J8162"/>
      <c r="K8162"/>
      <c r="L8162"/>
    </row>
    <row r="8163" spans="2:12" ht="15">
      <c r="B8163"/>
      <c r="C8163"/>
      <c r="D8163"/>
      <c r="E8163"/>
      <c r="F8163"/>
      <c r="G8163"/>
      <c r="H8163"/>
      <c r="J8163"/>
      <c r="K8163"/>
      <c r="L8163"/>
    </row>
    <row r="8164" spans="2:12" ht="15">
      <c r="B8164"/>
      <c r="C8164"/>
      <c r="D8164"/>
      <c r="E8164"/>
      <c r="F8164"/>
      <c r="G8164"/>
      <c r="H8164"/>
      <c r="J8164"/>
      <c r="K8164"/>
      <c r="L8164"/>
    </row>
    <row r="8165" spans="2:12" ht="15">
      <c r="B8165"/>
      <c r="C8165"/>
      <c r="D8165"/>
      <c r="E8165"/>
      <c r="F8165"/>
      <c r="G8165"/>
      <c r="H8165"/>
      <c r="J8165"/>
      <c r="K8165"/>
      <c r="L8165"/>
    </row>
    <row r="8166" spans="2:12" ht="15">
      <c r="B8166"/>
      <c r="C8166"/>
      <c r="D8166"/>
      <c r="E8166"/>
      <c r="F8166"/>
      <c r="G8166"/>
      <c r="H8166"/>
      <c r="J8166"/>
      <c r="K8166"/>
      <c r="L8166"/>
    </row>
    <row r="8167" spans="2:12" ht="15">
      <c r="B8167"/>
      <c r="C8167"/>
      <c r="D8167"/>
      <c r="E8167"/>
      <c r="F8167"/>
      <c r="G8167"/>
      <c r="H8167"/>
      <c r="J8167"/>
      <c r="K8167"/>
      <c r="L8167"/>
    </row>
    <row r="8168" spans="2:12" ht="15">
      <c r="B8168"/>
      <c r="C8168"/>
      <c r="D8168"/>
      <c r="E8168"/>
      <c r="F8168"/>
      <c r="G8168"/>
      <c r="H8168"/>
      <c r="J8168"/>
      <c r="K8168"/>
      <c r="L8168"/>
    </row>
    <row r="8169" spans="2:12" ht="15">
      <c r="B8169"/>
      <c r="C8169"/>
      <c r="D8169"/>
      <c r="E8169"/>
      <c r="F8169"/>
      <c r="G8169"/>
      <c r="H8169"/>
      <c r="J8169"/>
      <c r="K8169"/>
      <c r="L8169"/>
    </row>
    <row r="8170" spans="2:12" ht="15">
      <c r="B8170"/>
      <c r="C8170"/>
      <c r="D8170"/>
      <c r="E8170"/>
      <c r="F8170"/>
      <c r="G8170"/>
      <c r="H8170"/>
      <c r="J8170"/>
      <c r="K8170"/>
      <c r="L8170"/>
    </row>
    <row r="8171" spans="2:12" ht="15">
      <c r="B8171"/>
      <c r="C8171"/>
      <c r="D8171"/>
      <c r="E8171"/>
      <c r="F8171"/>
      <c r="G8171"/>
      <c r="H8171"/>
      <c r="J8171"/>
      <c r="K8171"/>
      <c r="L8171"/>
    </row>
    <row r="8172" spans="2:12" ht="15">
      <c r="B8172"/>
      <c r="C8172"/>
      <c r="D8172"/>
      <c r="E8172"/>
      <c r="F8172"/>
      <c r="G8172"/>
      <c r="H8172"/>
      <c r="J8172"/>
      <c r="K8172"/>
      <c r="L8172"/>
    </row>
    <row r="8173" spans="2:12" ht="15">
      <c r="B8173"/>
      <c r="C8173"/>
      <c r="D8173"/>
      <c r="E8173"/>
      <c r="F8173"/>
      <c r="G8173"/>
      <c r="H8173"/>
      <c r="J8173"/>
      <c r="K8173"/>
      <c r="L8173"/>
    </row>
    <row r="8174" spans="2:12" ht="15">
      <c r="B8174"/>
      <c r="C8174"/>
      <c r="D8174"/>
      <c r="E8174"/>
      <c r="F8174"/>
      <c r="G8174"/>
      <c r="H8174"/>
      <c r="J8174"/>
      <c r="K8174"/>
      <c r="L8174"/>
    </row>
    <row r="8175" spans="2:12" ht="15">
      <c r="B8175"/>
      <c r="C8175"/>
      <c r="D8175"/>
      <c r="E8175"/>
      <c r="F8175"/>
      <c r="G8175"/>
      <c r="H8175"/>
      <c r="J8175"/>
      <c r="K8175"/>
      <c r="L8175"/>
    </row>
    <row r="8176" spans="2:12" ht="15">
      <c r="B8176"/>
      <c r="C8176"/>
      <c r="D8176"/>
      <c r="E8176"/>
      <c r="F8176"/>
      <c r="G8176"/>
      <c r="H8176"/>
      <c r="J8176"/>
      <c r="K8176"/>
      <c r="L8176"/>
    </row>
    <row r="8177" spans="2:12" ht="15">
      <c r="B8177"/>
      <c r="C8177"/>
      <c r="D8177"/>
      <c r="E8177"/>
      <c r="F8177"/>
      <c r="G8177"/>
      <c r="H8177"/>
      <c r="J8177"/>
      <c r="K8177"/>
      <c r="L8177"/>
    </row>
    <row r="8178" spans="2:12" ht="15">
      <c r="B8178"/>
      <c r="C8178"/>
      <c r="D8178"/>
      <c r="E8178"/>
      <c r="F8178"/>
      <c r="G8178"/>
      <c r="H8178"/>
      <c r="J8178"/>
      <c r="K8178"/>
      <c r="L8178"/>
    </row>
    <row r="8179" spans="2:12" ht="15">
      <c r="B8179"/>
      <c r="C8179"/>
      <c r="D8179"/>
      <c r="E8179"/>
      <c r="F8179"/>
      <c r="G8179"/>
      <c r="H8179"/>
      <c r="J8179"/>
      <c r="K8179"/>
      <c r="L8179"/>
    </row>
    <row r="8180" spans="2:12" ht="15">
      <c r="B8180"/>
      <c r="C8180"/>
      <c r="D8180"/>
      <c r="E8180"/>
      <c r="F8180"/>
      <c r="G8180"/>
      <c r="H8180"/>
      <c r="J8180"/>
      <c r="K8180"/>
      <c r="L8180"/>
    </row>
    <row r="8181" spans="2:12" ht="15">
      <c r="B8181"/>
      <c r="C8181"/>
      <c r="D8181"/>
      <c r="E8181"/>
      <c r="F8181"/>
      <c r="G8181"/>
      <c r="H8181"/>
      <c r="J8181"/>
      <c r="K8181"/>
      <c r="L8181"/>
    </row>
    <row r="8182" spans="2:12" ht="15">
      <c r="B8182"/>
      <c r="C8182"/>
      <c r="D8182"/>
      <c r="E8182"/>
      <c r="F8182"/>
      <c r="G8182"/>
      <c r="H8182"/>
      <c r="J8182"/>
      <c r="K8182"/>
      <c r="L8182"/>
    </row>
    <row r="8183" spans="2:12" ht="15">
      <c r="B8183"/>
      <c r="C8183"/>
      <c r="D8183"/>
      <c r="E8183"/>
      <c r="F8183"/>
      <c r="G8183"/>
      <c r="H8183"/>
      <c r="J8183"/>
      <c r="K8183"/>
      <c r="L8183"/>
    </row>
    <row r="8184" spans="2:12" ht="15">
      <c r="B8184"/>
      <c r="C8184"/>
      <c r="D8184"/>
      <c r="E8184"/>
      <c r="F8184"/>
      <c r="G8184"/>
      <c r="H8184"/>
      <c r="J8184"/>
      <c r="K8184"/>
      <c r="L8184"/>
    </row>
    <row r="8185" spans="2:12" ht="15">
      <c r="B8185"/>
      <c r="C8185"/>
      <c r="D8185"/>
      <c r="E8185"/>
      <c r="F8185"/>
      <c r="G8185"/>
      <c r="H8185"/>
      <c r="J8185"/>
      <c r="K8185"/>
      <c r="L8185"/>
    </row>
    <row r="8186" spans="2:12" ht="15">
      <c r="B8186"/>
      <c r="C8186"/>
      <c r="D8186"/>
      <c r="E8186"/>
      <c r="F8186"/>
      <c r="G8186"/>
      <c r="H8186"/>
      <c r="J8186"/>
      <c r="K8186"/>
      <c r="L8186"/>
    </row>
    <row r="8187" spans="2:12" ht="15">
      <c r="B8187"/>
      <c r="C8187"/>
      <c r="D8187"/>
      <c r="E8187"/>
      <c r="F8187"/>
      <c r="G8187"/>
      <c r="H8187"/>
      <c r="J8187"/>
      <c r="K8187"/>
      <c r="L8187"/>
    </row>
    <row r="8188" spans="2:12" ht="15">
      <c r="B8188"/>
      <c r="C8188"/>
      <c r="D8188"/>
      <c r="E8188"/>
      <c r="F8188"/>
      <c r="G8188"/>
      <c r="H8188"/>
      <c r="J8188"/>
      <c r="K8188"/>
      <c r="L8188"/>
    </row>
    <row r="8189" spans="2:12" ht="15">
      <c r="B8189"/>
      <c r="C8189"/>
      <c r="D8189"/>
      <c r="E8189"/>
      <c r="F8189"/>
      <c r="G8189"/>
      <c r="H8189"/>
      <c r="J8189"/>
      <c r="K8189"/>
      <c r="L8189"/>
    </row>
    <row r="8190" spans="2:12" ht="15">
      <c r="B8190"/>
      <c r="C8190"/>
      <c r="D8190"/>
      <c r="E8190"/>
      <c r="F8190"/>
      <c r="G8190"/>
      <c r="H8190"/>
      <c r="J8190"/>
      <c r="K8190"/>
      <c r="L8190"/>
    </row>
    <row r="8191" spans="2:12" ht="15">
      <c r="B8191"/>
      <c r="C8191"/>
      <c r="D8191"/>
      <c r="E8191"/>
      <c r="F8191"/>
      <c r="G8191"/>
      <c r="H8191"/>
      <c r="J8191"/>
      <c r="K8191"/>
      <c r="L8191"/>
    </row>
    <row r="8192" spans="2:12" ht="15">
      <c r="B8192"/>
      <c r="C8192"/>
      <c r="D8192"/>
      <c r="E8192"/>
      <c r="F8192"/>
      <c r="G8192"/>
      <c r="H8192"/>
      <c r="J8192"/>
      <c r="K8192"/>
      <c r="L8192"/>
    </row>
    <row r="8193" spans="2:12" ht="15">
      <c r="B8193"/>
      <c r="C8193"/>
      <c r="D8193"/>
      <c r="E8193"/>
      <c r="F8193"/>
      <c r="G8193"/>
      <c r="H8193"/>
      <c r="J8193"/>
      <c r="K8193"/>
      <c r="L8193"/>
    </row>
  </sheetData>
  <sheetProtection/>
  <printOptions/>
  <pageMargins left="0.5" right="0.5" top="0.5" bottom="0.55" header="0.5" footer="0.5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206"/>
  <sheetViews>
    <sheetView defaultGridColor="0" zoomScale="50" zoomScaleNormal="50" zoomScalePageLayoutView="0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2" width="10.4453125" style="1" customWidth="1"/>
    <col min="3" max="4" width="9.77734375" style="1" customWidth="1"/>
    <col min="5" max="5" width="10.3359375" style="1" bestFit="1" customWidth="1"/>
    <col min="6" max="7" width="9.77734375" style="1" customWidth="1"/>
    <col min="8" max="8" width="10.3359375" style="1" bestFit="1" customWidth="1"/>
    <col min="9" max="12" width="9.77734375" style="1" customWidth="1"/>
    <col min="13" max="13" width="11.77734375" style="0" customWidth="1"/>
    <col min="14" max="14" width="11.99609375" style="0" customWidth="1"/>
    <col min="15" max="15" width="9.77734375" style="0" customWidth="1"/>
    <col min="16" max="16" width="9.4453125" style="0" customWidth="1"/>
  </cols>
  <sheetData>
    <row r="1" spans="1:4" ht="15">
      <c r="A1" t="s">
        <v>156</v>
      </c>
      <c r="D1" s="1" t="s">
        <v>138</v>
      </c>
    </row>
    <row r="2" spans="4:17" ht="15">
      <c r="D2" s="1" t="s">
        <v>139</v>
      </c>
      <c r="P2" s="2"/>
      <c r="Q2" s="2"/>
    </row>
    <row r="3" spans="16:17" ht="15">
      <c r="P3" s="2"/>
      <c r="Q3" s="2"/>
    </row>
    <row r="4" spans="16:17" ht="15">
      <c r="P4" s="2"/>
      <c r="Q4" s="2"/>
    </row>
    <row r="5" spans="1:17" ht="15">
      <c r="A5" t="s">
        <v>0</v>
      </c>
      <c r="C5" s="20">
        <v>0.025</v>
      </c>
      <c r="E5" s="1" t="s">
        <v>1</v>
      </c>
      <c r="G5" s="20">
        <v>0.8</v>
      </c>
      <c r="I5" s="21" t="s">
        <v>2</v>
      </c>
      <c r="J5" s="1">
        <v>750000</v>
      </c>
      <c r="O5" s="24"/>
      <c r="P5" s="2"/>
      <c r="Q5" s="2"/>
    </row>
    <row r="6" spans="1:17" ht="15">
      <c r="A6" t="s">
        <v>3</v>
      </c>
      <c r="C6" s="20">
        <v>0.09</v>
      </c>
      <c r="E6" s="1" t="s">
        <v>4</v>
      </c>
      <c r="G6" s="23">
        <v>39</v>
      </c>
      <c r="H6" s="1" t="s">
        <v>5</v>
      </c>
      <c r="I6" s="21" t="s">
        <v>6</v>
      </c>
      <c r="J6" s="20">
        <v>0.1</v>
      </c>
      <c r="O6" s="24"/>
      <c r="P6" s="2"/>
      <c r="Q6" s="2"/>
    </row>
    <row r="7" spans="1:17" ht="15">
      <c r="A7" t="s">
        <v>7</v>
      </c>
      <c r="C7" s="20">
        <v>0.4</v>
      </c>
      <c r="E7" s="1" t="s">
        <v>8</v>
      </c>
      <c r="G7" s="20">
        <v>0.28</v>
      </c>
      <c r="I7" s="21" t="s">
        <v>9</v>
      </c>
      <c r="J7" s="1">
        <v>0</v>
      </c>
      <c r="O7" s="24"/>
      <c r="P7" s="2"/>
      <c r="Q7" s="2"/>
    </row>
    <row r="8" spans="15:17" ht="15">
      <c r="O8" s="24"/>
      <c r="P8" s="2"/>
      <c r="Q8" s="2"/>
    </row>
    <row r="9" spans="2:17" ht="15">
      <c r="B9" s="27" t="s">
        <v>11</v>
      </c>
      <c r="C9" s="27" t="s">
        <v>12</v>
      </c>
      <c r="D9" s="27" t="s">
        <v>13</v>
      </c>
      <c r="E9" s="27" t="s">
        <v>14</v>
      </c>
      <c r="F9" s="27" t="s">
        <v>15</v>
      </c>
      <c r="G9" s="27" t="s">
        <v>16</v>
      </c>
      <c r="H9" s="27" t="s">
        <v>17</v>
      </c>
      <c r="I9" s="27" t="s">
        <v>18</v>
      </c>
      <c r="J9" s="27" t="s">
        <v>19</v>
      </c>
      <c r="K9" s="27" t="s">
        <v>20</v>
      </c>
      <c r="L9" s="27" t="s">
        <v>21</v>
      </c>
      <c r="M9" s="27" t="s">
        <v>22</v>
      </c>
      <c r="O9" s="24"/>
      <c r="P9" s="2"/>
      <c r="Q9" s="2"/>
    </row>
    <row r="10" spans="6:17" ht="15">
      <c r="F10" s="21" t="s">
        <v>24</v>
      </c>
      <c r="H10" s="21" t="s">
        <v>25</v>
      </c>
      <c r="J10" s="21" t="s">
        <v>26</v>
      </c>
      <c r="L10" s="21" t="s">
        <v>27</v>
      </c>
      <c r="M10" s="21" t="s">
        <v>28</v>
      </c>
      <c r="O10" s="24"/>
      <c r="P10" s="2"/>
      <c r="Q10" s="2"/>
    </row>
    <row r="11" spans="1:17" ht="15">
      <c r="A11" s="31" t="s">
        <v>30</v>
      </c>
      <c r="B11" s="21" t="s">
        <v>31</v>
      </c>
      <c r="C11" s="21" t="s">
        <v>32</v>
      </c>
      <c r="D11" s="21" t="s">
        <v>33</v>
      </c>
      <c r="E11" s="21" t="s">
        <v>34</v>
      </c>
      <c r="F11" s="21" t="s">
        <v>35</v>
      </c>
      <c r="G11" s="21" t="s">
        <v>36</v>
      </c>
      <c r="H11" s="21" t="s">
        <v>37</v>
      </c>
      <c r="I11" s="21" t="s">
        <v>38</v>
      </c>
      <c r="J11" s="21" t="s">
        <v>39</v>
      </c>
      <c r="K11" s="21" t="s">
        <v>40</v>
      </c>
      <c r="L11" s="21" t="s">
        <v>41</v>
      </c>
      <c r="M11" s="21" t="s">
        <v>42</v>
      </c>
      <c r="O11" s="24"/>
      <c r="P11" s="2"/>
      <c r="Q11" s="2"/>
    </row>
    <row r="12" spans="1:17" ht="15">
      <c r="A12" s="33">
        <v>0</v>
      </c>
      <c r="B12" s="34">
        <v>1000000</v>
      </c>
      <c r="E12" s="34">
        <f>-B12</f>
        <v>-1000000</v>
      </c>
      <c r="H12" s="34">
        <f aca="true" t="shared" si="0" ref="H12:H22">E12-F12+G12</f>
        <v>-1000000</v>
      </c>
      <c r="I12" s="1">
        <f>J5</f>
        <v>750000</v>
      </c>
      <c r="J12" s="34">
        <f>-J5</f>
        <v>-750000</v>
      </c>
      <c r="L12" s="34">
        <f aca="true" t="shared" si="1" ref="L12:L22">E12-J12</f>
        <v>-250000</v>
      </c>
      <c r="M12" s="1">
        <f aca="true" t="shared" si="2" ref="M12:M22">H12-J12+K12</f>
        <v>-250000</v>
      </c>
      <c r="O12" s="24"/>
      <c r="P12" s="2"/>
      <c r="Q12" s="2"/>
    </row>
    <row r="13" spans="1:17" ht="15">
      <c r="A13" s="33">
        <f aca="true" t="shared" si="3" ref="A13:A22">1+A12</f>
        <v>1</v>
      </c>
      <c r="B13" s="34">
        <f aca="true" t="shared" si="4" ref="B13:B22">(1+C$5)*B12</f>
        <v>1024999.9999999999</v>
      </c>
      <c r="C13" s="1">
        <f aca="true" t="shared" si="5" ref="C13:C22">C$6*B12</f>
        <v>90000</v>
      </c>
      <c r="D13" s="1">
        <v>0</v>
      </c>
      <c r="E13" s="34">
        <f aca="true" t="shared" si="6" ref="E13:E21">C13-D13</f>
        <v>90000</v>
      </c>
      <c r="F13" s="1">
        <f aca="true" t="shared" si="7" ref="F13:F21">C$7*C13</f>
        <v>36000</v>
      </c>
      <c r="G13" s="1">
        <f>$B$12*$C$7*$G$5/$G$6</f>
        <v>8205.128205128205</v>
      </c>
      <c r="H13" s="34">
        <f t="shared" si="0"/>
        <v>62205.1282051282</v>
      </c>
      <c r="I13" s="1">
        <f aca="true" t="shared" si="8" ref="I13:I22">I12-$J$7</f>
        <v>750000</v>
      </c>
      <c r="J13" s="1">
        <f aca="true" t="shared" si="9" ref="J13:J21">$J$6*I12+$J$7</f>
        <v>75000</v>
      </c>
      <c r="K13" s="1">
        <f aca="true" t="shared" si="10" ref="K13:K22">C$7*I12*J$6</f>
        <v>30000</v>
      </c>
      <c r="L13" s="1">
        <f t="shared" si="1"/>
        <v>15000</v>
      </c>
      <c r="M13" s="1">
        <f t="shared" si="2"/>
        <v>17205.128205128203</v>
      </c>
      <c r="O13" s="24"/>
      <c r="P13" s="2"/>
      <c r="Q13" s="2"/>
    </row>
    <row r="14" spans="1:15" ht="15">
      <c r="A14" s="33">
        <f t="shared" si="3"/>
        <v>2</v>
      </c>
      <c r="B14" s="34">
        <f t="shared" si="4"/>
        <v>1050624.9999999998</v>
      </c>
      <c r="C14" s="1">
        <f t="shared" si="5"/>
        <v>92249.99999999999</v>
      </c>
      <c r="D14" s="1">
        <v>0</v>
      </c>
      <c r="E14" s="34">
        <f t="shared" si="6"/>
        <v>92249.99999999999</v>
      </c>
      <c r="F14" s="1">
        <f t="shared" si="7"/>
        <v>36899.99999999999</v>
      </c>
      <c r="G14" s="1">
        <f aca="true" t="shared" si="11" ref="G14:G21">B$12*C$7*G$5/G$6</f>
        <v>8205.128205128205</v>
      </c>
      <c r="H14" s="34">
        <f t="shared" si="0"/>
        <v>63555.128205128196</v>
      </c>
      <c r="I14" s="1">
        <f t="shared" si="8"/>
        <v>750000</v>
      </c>
      <c r="J14" s="1">
        <f t="shared" si="9"/>
        <v>75000</v>
      </c>
      <c r="K14" s="1">
        <f t="shared" si="10"/>
        <v>30000</v>
      </c>
      <c r="L14" s="1">
        <f t="shared" si="1"/>
        <v>17249.999999999985</v>
      </c>
      <c r="M14" s="1">
        <f t="shared" si="2"/>
        <v>18555.128205128196</v>
      </c>
      <c r="O14" s="24"/>
    </row>
    <row r="15" spans="1:13" ht="15">
      <c r="A15" s="33">
        <f t="shared" si="3"/>
        <v>3</v>
      </c>
      <c r="B15" s="34">
        <f t="shared" si="4"/>
        <v>1076890.6249999998</v>
      </c>
      <c r="C15" s="1">
        <f t="shared" si="5"/>
        <v>94556.24999999997</v>
      </c>
      <c r="D15" s="1">
        <v>0</v>
      </c>
      <c r="E15" s="34">
        <f t="shared" si="6"/>
        <v>94556.24999999997</v>
      </c>
      <c r="F15" s="1">
        <f t="shared" si="7"/>
        <v>37822.49999999999</v>
      </c>
      <c r="G15" s="1">
        <f t="shared" si="11"/>
        <v>8205.128205128205</v>
      </c>
      <c r="H15" s="34">
        <f t="shared" si="0"/>
        <v>64938.87820512818</v>
      </c>
      <c r="I15" s="1">
        <f t="shared" si="8"/>
        <v>750000</v>
      </c>
      <c r="J15" s="1">
        <f t="shared" si="9"/>
        <v>75000</v>
      </c>
      <c r="K15" s="1">
        <f t="shared" si="10"/>
        <v>30000</v>
      </c>
      <c r="L15" s="1">
        <f t="shared" si="1"/>
        <v>19556.24999999997</v>
      </c>
      <c r="M15" s="1">
        <f t="shared" si="2"/>
        <v>19938.87820512818</v>
      </c>
    </row>
    <row r="16" spans="1:13" ht="15">
      <c r="A16" s="33">
        <f t="shared" si="3"/>
        <v>4</v>
      </c>
      <c r="B16" s="34">
        <f t="shared" si="4"/>
        <v>1103812.8906249998</v>
      </c>
      <c r="C16" s="1">
        <f t="shared" si="5"/>
        <v>96920.15624999997</v>
      </c>
      <c r="D16" s="1">
        <v>0</v>
      </c>
      <c r="E16" s="34">
        <f t="shared" si="6"/>
        <v>96920.15624999997</v>
      </c>
      <c r="F16" s="1">
        <f t="shared" si="7"/>
        <v>38768.06249999999</v>
      </c>
      <c r="G16" s="1">
        <f t="shared" si="11"/>
        <v>8205.128205128205</v>
      </c>
      <c r="H16" s="34">
        <f t="shared" si="0"/>
        <v>66357.22195512819</v>
      </c>
      <c r="I16" s="1">
        <f t="shared" si="8"/>
        <v>750000</v>
      </c>
      <c r="J16" s="1">
        <f t="shared" si="9"/>
        <v>75000</v>
      </c>
      <c r="K16" s="1">
        <f t="shared" si="10"/>
        <v>30000</v>
      </c>
      <c r="L16" s="1">
        <f t="shared" si="1"/>
        <v>21920.15624999997</v>
      </c>
      <c r="M16" s="1">
        <f t="shared" si="2"/>
        <v>21357.22195512819</v>
      </c>
    </row>
    <row r="17" spans="1:13" ht="15">
      <c r="A17" s="33">
        <f t="shared" si="3"/>
        <v>5</v>
      </c>
      <c r="B17" s="34">
        <f t="shared" si="4"/>
        <v>1131408.2128906248</v>
      </c>
      <c r="C17" s="1">
        <f t="shared" si="5"/>
        <v>99343.16015624997</v>
      </c>
      <c r="D17" s="1">
        <v>0</v>
      </c>
      <c r="E17" s="34">
        <f t="shared" si="6"/>
        <v>99343.16015624997</v>
      </c>
      <c r="F17" s="1">
        <f t="shared" si="7"/>
        <v>39737.26406249999</v>
      </c>
      <c r="G17" s="1">
        <f t="shared" si="11"/>
        <v>8205.128205128205</v>
      </c>
      <c r="H17" s="34">
        <f t="shared" si="0"/>
        <v>67811.02429887818</v>
      </c>
      <c r="I17" s="1">
        <f t="shared" si="8"/>
        <v>750000</v>
      </c>
      <c r="J17" s="1">
        <f t="shared" si="9"/>
        <v>75000</v>
      </c>
      <c r="K17" s="1">
        <f t="shared" si="10"/>
        <v>30000</v>
      </c>
      <c r="L17" s="1">
        <f t="shared" si="1"/>
        <v>24343.16015624997</v>
      </c>
      <c r="M17" s="1">
        <f t="shared" si="2"/>
        <v>22811.024298878183</v>
      </c>
    </row>
    <row r="18" spans="1:13" ht="15">
      <c r="A18" s="33">
        <f t="shared" si="3"/>
        <v>6</v>
      </c>
      <c r="B18" s="34">
        <f t="shared" si="4"/>
        <v>1159693.4182128904</v>
      </c>
      <c r="C18" s="1">
        <f t="shared" si="5"/>
        <v>101826.73916015623</v>
      </c>
      <c r="D18" s="1">
        <v>0</v>
      </c>
      <c r="E18" s="34">
        <f t="shared" si="6"/>
        <v>101826.73916015623</v>
      </c>
      <c r="F18" s="1">
        <f t="shared" si="7"/>
        <v>40730.69566406249</v>
      </c>
      <c r="G18" s="1">
        <f t="shared" si="11"/>
        <v>8205.128205128205</v>
      </c>
      <c r="H18" s="34">
        <f t="shared" si="0"/>
        <v>69301.17170122195</v>
      </c>
      <c r="I18" s="1">
        <f t="shared" si="8"/>
        <v>750000</v>
      </c>
      <c r="J18" s="1">
        <f t="shared" si="9"/>
        <v>75000</v>
      </c>
      <c r="K18" s="1">
        <f t="shared" si="10"/>
        <v>30000</v>
      </c>
      <c r="L18" s="1">
        <f t="shared" si="1"/>
        <v>26826.739160156227</v>
      </c>
      <c r="M18" s="1">
        <f t="shared" si="2"/>
        <v>24301.171701221945</v>
      </c>
    </row>
    <row r="19" spans="1:13" ht="15">
      <c r="A19" s="33">
        <f t="shared" si="3"/>
        <v>7</v>
      </c>
      <c r="B19" s="34">
        <f t="shared" si="4"/>
        <v>1188685.7536682126</v>
      </c>
      <c r="C19" s="1">
        <f t="shared" si="5"/>
        <v>104372.40763916013</v>
      </c>
      <c r="D19" s="1">
        <v>0</v>
      </c>
      <c r="E19" s="34">
        <f t="shared" si="6"/>
        <v>104372.40763916013</v>
      </c>
      <c r="F19" s="1">
        <f t="shared" si="7"/>
        <v>41748.963055664055</v>
      </c>
      <c r="G19" s="1">
        <f t="shared" si="11"/>
        <v>8205.128205128205</v>
      </c>
      <c r="H19" s="34">
        <f t="shared" si="0"/>
        <v>70828.57278862428</v>
      </c>
      <c r="I19" s="1">
        <f t="shared" si="8"/>
        <v>750000</v>
      </c>
      <c r="J19" s="1">
        <f t="shared" si="9"/>
        <v>75000</v>
      </c>
      <c r="K19" s="1">
        <f t="shared" si="10"/>
        <v>30000</v>
      </c>
      <c r="L19" s="1">
        <f t="shared" si="1"/>
        <v>29372.407639160127</v>
      </c>
      <c r="M19" s="1">
        <f t="shared" si="2"/>
        <v>25828.572788624282</v>
      </c>
    </row>
    <row r="20" spans="1:13" ht="15">
      <c r="A20" s="33">
        <f t="shared" si="3"/>
        <v>8</v>
      </c>
      <c r="B20" s="34">
        <f t="shared" si="4"/>
        <v>1218402.8975099178</v>
      </c>
      <c r="C20" s="1">
        <f t="shared" si="5"/>
        <v>106981.71783013912</v>
      </c>
      <c r="D20" s="1">
        <v>0</v>
      </c>
      <c r="E20" s="34">
        <f t="shared" si="6"/>
        <v>106981.71783013912</v>
      </c>
      <c r="F20" s="1">
        <f t="shared" si="7"/>
        <v>42792.68713205565</v>
      </c>
      <c r="G20" s="1">
        <f t="shared" si="11"/>
        <v>8205.128205128205</v>
      </c>
      <c r="H20" s="34">
        <f t="shared" si="0"/>
        <v>72394.15890321168</v>
      </c>
      <c r="I20" s="1">
        <f t="shared" si="8"/>
        <v>750000</v>
      </c>
      <c r="J20" s="1">
        <f t="shared" si="9"/>
        <v>75000</v>
      </c>
      <c r="K20" s="1">
        <f t="shared" si="10"/>
        <v>30000</v>
      </c>
      <c r="L20" s="1">
        <f t="shared" si="1"/>
        <v>31981.717830139125</v>
      </c>
      <c r="M20" s="1">
        <f t="shared" si="2"/>
        <v>27394.158903211675</v>
      </c>
    </row>
    <row r="21" spans="1:13" ht="15">
      <c r="A21" s="33">
        <f t="shared" si="3"/>
        <v>9</v>
      </c>
      <c r="B21" s="34">
        <f t="shared" si="4"/>
        <v>1248862.9699476657</v>
      </c>
      <c r="C21" s="1">
        <f t="shared" si="5"/>
        <v>109656.2607758926</v>
      </c>
      <c r="D21" s="1">
        <v>0</v>
      </c>
      <c r="E21" s="34">
        <f t="shared" si="6"/>
        <v>109656.2607758926</v>
      </c>
      <c r="F21" s="1">
        <f t="shared" si="7"/>
        <v>43862.50431035704</v>
      </c>
      <c r="G21" s="1">
        <f t="shared" si="11"/>
        <v>8205.128205128205</v>
      </c>
      <c r="H21" s="34">
        <f t="shared" si="0"/>
        <v>73998.88467066376</v>
      </c>
      <c r="I21" s="1">
        <f t="shared" si="8"/>
        <v>750000</v>
      </c>
      <c r="J21" s="1">
        <f t="shared" si="9"/>
        <v>75000</v>
      </c>
      <c r="K21" s="1">
        <f t="shared" si="10"/>
        <v>30000</v>
      </c>
      <c r="L21" s="1">
        <f t="shared" si="1"/>
        <v>34656.2607758926</v>
      </c>
      <c r="M21" s="1">
        <f t="shared" si="2"/>
        <v>28998.884670663756</v>
      </c>
    </row>
    <row r="22" spans="1:13" ht="15">
      <c r="A22" s="33">
        <f t="shared" si="3"/>
        <v>10</v>
      </c>
      <c r="B22" s="34">
        <f t="shared" si="4"/>
        <v>1280084.5441963573</v>
      </c>
      <c r="C22" s="1">
        <f t="shared" si="5"/>
        <v>112397.66729528991</v>
      </c>
      <c r="D22" s="1">
        <v>0</v>
      </c>
      <c r="E22" s="34">
        <f>B22+C22-D22</f>
        <v>1392482.2114916472</v>
      </c>
      <c r="F22" s="1">
        <f>C$7*C22+G$7*(B22-(B12+SUM(D13:D22)))</f>
        <v>123382.739293096</v>
      </c>
      <c r="G22" s="1">
        <f>B$12*($C$7*$G$5/$G$6-10*$G$7*$G$5/$G$6)</f>
        <v>-49230.769230769234</v>
      </c>
      <c r="H22" s="34">
        <f t="shared" si="0"/>
        <v>1219868.7029677818</v>
      </c>
      <c r="I22" s="1">
        <f t="shared" si="8"/>
        <v>750000</v>
      </c>
      <c r="J22" s="1">
        <f>$J$6*I21+I21</f>
        <v>825000</v>
      </c>
      <c r="K22" s="1">
        <f t="shared" si="10"/>
        <v>30000</v>
      </c>
      <c r="L22" s="1">
        <f t="shared" si="1"/>
        <v>567482.2114916472</v>
      </c>
      <c r="M22" s="1">
        <f t="shared" si="2"/>
        <v>424868.7029677818</v>
      </c>
    </row>
    <row r="23" ht="15">
      <c r="M23" s="1"/>
    </row>
    <row r="24" spans="1:13" ht="15">
      <c r="A24" s="20" t="s">
        <v>45</v>
      </c>
      <c r="D24" s="20"/>
      <c r="E24" s="20">
        <f>IRR(E12:E22,0.1)</f>
        <v>0.11499999999999977</v>
      </c>
      <c r="F24" s="20"/>
      <c r="G24" s="20"/>
      <c r="H24" s="20">
        <f>IRR(H12:H22,0.1)</f>
        <v>0.07784961974432236</v>
      </c>
      <c r="J24" s="20"/>
      <c r="K24" s="20"/>
      <c r="L24" s="20">
        <f>IRR(L12:L22,0.1)</f>
        <v>0.1480898901446579</v>
      </c>
      <c r="M24" s="20">
        <f>IRR(M12:M22,0.1)</f>
        <v>0.12187465548304655</v>
      </c>
    </row>
    <row r="25" spans="2:12" ht="15">
      <c r="B25"/>
      <c r="C25"/>
      <c r="D25"/>
      <c r="E25"/>
      <c r="F25"/>
      <c r="G25"/>
      <c r="H25"/>
      <c r="J25"/>
      <c r="K25"/>
      <c r="L25"/>
    </row>
    <row r="26" spans="1:12" ht="15">
      <c r="A26" t="s">
        <v>140</v>
      </c>
      <c r="B26" s="2">
        <f>E24</f>
        <v>0.11499999999999977</v>
      </c>
      <c r="C26"/>
      <c r="D26"/>
      <c r="E26"/>
      <c r="F26"/>
      <c r="G26"/>
      <c r="H26"/>
      <c r="J26"/>
      <c r="K26"/>
      <c r="L26"/>
    </row>
    <row r="27" spans="1:12" ht="15">
      <c r="A27" t="s">
        <v>141</v>
      </c>
      <c r="B27" s="2">
        <f>H24</f>
        <v>0.07784961974432236</v>
      </c>
      <c r="C27"/>
      <c r="D27"/>
      <c r="E27"/>
      <c r="F27"/>
      <c r="G27"/>
      <c r="H27"/>
      <c r="J27"/>
      <c r="K27"/>
      <c r="L27"/>
    </row>
    <row r="28" spans="1:12" ht="15">
      <c r="A28" t="s">
        <v>142</v>
      </c>
      <c r="B28" s="2">
        <f>(H24/E24)*0.1</f>
        <v>0.06769532151680219</v>
      </c>
      <c r="C28"/>
      <c r="D28"/>
      <c r="E28"/>
      <c r="F28"/>
      <c r="G28"/>
      <c r="H28"/>
      <c r="J28"/>
      <c r="K28"/>
      <c r="L28"/>
    </row>
    <row r="29" spans="1:12" ht="15">
      <c r="A29" t="s">
        <v>143</v>
      </c>
      <c r="B29" s="62">
        <f>NPV(B28,G13:G22)</f>
        <v>28414.478571416013</v>
      </c>
      <c r="C29"/>
      <c r="D29"/>
      <c r="E29"/>
      <c r="F29"/>
      <c r="G29"/>
      <c r="H29"/>
      <c r="J29"/>
      <c r="K29"/>
      <c r="L29"/>
    </row>
    <row r="30" spans="1:12" ht="15">
      <c r="A30" t="s">
        <v>144</v>
      </c>
      <c r="B30" s="36">
        <f>((1+C5)^10)*B29/((1+H24)^10-(1+C5)^10)</f>
        <v>43495.94538283731</v>
      </c>
      <c r="C30" s="28" t="s">
        <v>145</v>
      </c>
      <c r="D30"/>
      <c r="E30"/>
      <c r="F30"/>
      <c r="G30"/>
      <c r="H30"/>
      <c r="J30"/>
      <c r="K30"/>
      <c r="L30"/>
    </row>
    <row r="31" spans="1:12" ht="15">
      <c r="A31" t="s">
        <v>146</v>
      </c>
      <c r="B31" s="2">
        <f>(B29+B30)/B12</f>
        <v>0.07191042395425332</v>
      </c>
      <c r="C31"/>
      <c r="D31"/>
      <c r="E31"/>
      <c r="F31"/>
      <c r="G31"/>
      <c r="H31"/>
      <c r="J31"/>
      <c r="K31"/>
      <c r="L31"/>
    </row>
    <row r="32" spans="1:12" ht="15">
      <c r="A32" t="s">
        <v>147</v>
      </c>
      <c r="B32" s="2">
        <f>L24</f>
        <v>0.1480898901446579</v>
      </c>
      <c r="C32"/>
      <c r="D32"/>
      <c r="E32"/>
      <c r="F32"/>
      <c r="G32"/>
      <c r="H32"/>
      <c r="J32"/>
      <c r="K32"/>
      <c r="L32"/>
    </row>
    <row r="33" spans="1:12" ht="15">
      <c r="A33" t="s">
        <v>148</v>
      </c>
      <c r="B33" s="2">
        <f>M24</f>
        <v>0.12187465548304655</v>
      </c>
      <c r="C33"/>
      <c r="D33"/>
      <c r="E33"/>
      <c r="F33"/>
      <c r="G33"/>
      <c r="H33"/>
      <c r="J33"/>
      <c r="K33"/>
      <c r="L33"/>
    </row>
    <row r="34" spans="1:12" ht="15">
      <c r="A34" t="s">
        <v>149</v>
      </c>
      <c r="B34" s="63">
        <f>B33/B32</f>
        <v>0.8229775534575409</v>
      </c>
      <c r="C34" s="28" t="s">
        <v>150</v>
      </c>
      <c r="D34"/>
      <c r="E34"/>
      <c r="F34"/>
      <c r="G34"/>
      <c r="H34"/>
      <c r="J34"/>
      <c r="K34"/>
      <c r="L34"/>
    </row>
    <row r="35" spans="1:12" ht="15">
      <c r="A35" s="63">
        <f>1-B34</f>
        <v>0.17702244654245913</v>
      </c>
      <c r="B35" s="64" t="s">
        <v>151</v>
      </c>
      <c r="C35"/>
      <c r="D35"/>
      <c r="E35"/>
      <c r="F35"/>
      <c r="G35"/>
      <c r="H35"/>
      <c r="J35"/>
      <c r="K35"/>
      <c r="L35"/>
    </row>
    <row r="36" spans="1:12" ht="15">
      <c r="A36" s="63">
        <f>1-(H24/E24)</f>
        <v>0.32304678483197813</v>
      </c>
      <c r="B36" s="64" t="s">
        <v>152</v>
      </c>
      <c r="C36"/>
      <c r="D36"/>
      <c r="E36"/>
      <c r="F36"/>
      <c r="G36"/>
      <c r="H36"/>
      <c r="J36"/>
      <c r="K36"/>
      <c r="L36"/>
    </row>
    <row r="37" spans="1:12" ht="15">
      <c r="A37" t="s">
        <v>153</v>
      </c>
      <c r="C37"/>
      <c r="D37"/>
      <c r="E37"/>
      <c r="F37"/>
      <c r="G37"/>
      <c r="H37"/>
      <c r="J37"/>
      <c r="K37"/>
      <c r="L37"/>
    </row>
    <row r="38" spans="1:12" ht="15">
      <c r="A38" t="s">
        <v>154</v>
      </c>
      <c r="B38"/>
      <c r="C38"/>
      <c r="D38"/>
      <c r="E38"/>
      <c r="F38"/>
      <c r="G38"/>
      <c r="H38"/>
      <c r="J38"/>
      <c r="K38"/>
      <c r="L38"/>
    </row>
    <row r="39" spans="1:15" ht="15">
      <c r="A39" s="65"/>
      <c r="B39" s="65"/>
      <c r="C39" s="65"/>
      <c r="D39" s="65"/>
      <c r="E39" s="65"/>
      <c r="F39" s="65"/>
      <c r="G39" s="65"/>
      <c r="H39" s="65"/>
      <c r="I39" s="66"/>
      <c r="J39" s="65"/>
      <c r="K39" s="65"/>
      <c r="L39" s="65"/>
      <c r="M39" s="65"/>
      <c r="N39" s="65"/>
      <c r="O39" s="65"/>
    </row>
    <row r="40" spans="2:12" ht="15">
      <c r="B40"/>
      <c r="C40"/>
      <c r="D40"/>
      <c r="E40"/>
      <c r="F40"/>
      <c r="G40"/>
      <c r="H40"/>
      <c r="J40"/>
      <c r="K40"/>
      <c r="L40"/>
    </row>
    <row r="41" ht="15">
      <c r="A41" t="s">
        <v>46</v>
      </c>
    </row>
    <row r="42" spans="2:14" ht="15">
      <c r="B42" s="21" t="s">
        <v>47</v>
      </c>
      <c r="K42" s="21" t="s">
        <v>48</v>
      </c>
      <c r="L42" s="21" t="s">
        <v>49</v>
      </c>
      <c r="M42" s="31" t="s">
        <v>50</v>
      </c>
      <c r="N42" s="31" t="s">
        <v>51</v>
      </c>
    </row>
    <row r="43" spans="1:14" ht="15">
      <c r="A43" t="s">
        <v>52</v>
      </c>
      <c r="B43" s="1">
        <v>1</v>
      </c>
      <c r="C43" s="1">
        <v>2</v>
      </c>
      <c r="D43" s="1">
        <v>3</v>
      </c>
      <c r="E43" s="1">
        <v>4</v>
      </c>
      <c r="F43" s="1">
        <v>5</v>
      </c>
      <c r="G43" s="1">
        <v>6</v>
      </c>
      <c r="H43" s="1">
        <v>7</v>
      </c>
      <c r="I43" s="1">
        <v>8</v>
      </c>
      <c r="J43" s="1">
        <v>9</v>
      </c>
      <c r="K43" s="21" t="s">
        <v>53</v>
      </c>
      <c r="L43" s="21" t="s">
        <v>54</v>
      </c>
      <c r="M43" s="31" t="s">
        <v>53</v>
      </c>
      <c r="N43" s="31" t="s">
        <v>53</v>
      </c>
    </row>
    <row r="44" ht="15">
      <c r="A44" t="s">
        <v>55</v>
      </c>
    </row>
    <row r="45" spans="1:14" ht="15">
      <c r="A45" s="31" t="s">
        <v>32</v>
      </c>
      <c r="B45" s="1">
        <f>C13</f>
        <v>90000</v>
      </c>
      <c r="C45" s="1">
        <f>C14</f>
        <v>92249.99999999999</v>
      </c>
      <c r="D45" s="1">
        <f>C15</f>
        <v>94556.24999999997</v>
      </c>
      <c r="E45" s="1">
        <f>C16</f>
        <v>96920.15624999997</v>
      </c>
      <c r="F45" s="1">
        <f>C17</f>
        <v>99343.16015624997</v>
      </c>
      <c r="G45" s="1">
        <f>C18</f>
        <v>101826.73916015623</v>
      </c>
      <c r="H45" s="1">
        <f>C19</f>
        <v>104372.40763916013</v>
      </c>
      <c r="I45" s="1">
        <f>C20</f>
        <v>106981.71783013912</v>
      </c>
      <c r="J45" s="1">
        <f>C21</f>
        <v>109656.2607758926</v>
      </c>
      <c r="K45" s="1">
        <f>C22</f>
        <v>112397.66729528991</v>
      </c>
      <c r="L45" s="21" t="s">
        <v>56</v>
      </c>
      <c r="M45" s="1">
        <f>B22</f>
        <v>1280084.5441963573</v>
      </c>
      <c r="N45" s="1"/>
    </row>
    <row r="46" spans="1:14" ht="15">
      <c r="A46" s="31" t="s">
        <v>57</v>
      </c>
      <c r="B46" s="1">
        <f aca="true" t="shared" si="12" ref="B46:K46">$B$12*$G$5/$G$6</f>
        <v>20512.82051282051</v>
      </c>
      <c r="C46" s="1">
        <f t="shared" si="12"/>
        <v>20512.82051282051</v>
      </c>
      <c r="D46" s="1">
        <f t="shared" si="12"/>
        <v>20512.82051282051</v>
      </c>
      <c r="E46" s="1">
        <f t="shared" si="12"/>
        <v>20512.82051282051</v>
      </c>
      <c r="F46" s="1">
        <f t="shared" si="12"/>
        <v>20512.82051282051</v>
      </c>
      <c r="G46" s="1">
        <f t="shared" si="12"/>
        <v>20512.82051282051</v>
      </c>
      <c r="H46" s="1">
        <f t="shared" si="12"/>
        <v>20512.82051282051</v>
      </c>
      <c r="I46" s="1">
        <f t="shared" si="12"/>
        <v>20512.82051282051</v>
      </c>
      <c r="J46" s="1">
        <f t="shared" si="12"/>
        <v>20512.82051282051</v>
      </c>
      <c r="K46" s="1">
        <f t="shared" si="12"/>
        <v>20512.82051282051</v>
      </c>
      <c r="L46" s="21" t="s">
        <v>58</v>
      </c>
      <c r="M46" s="1">
        <f>B12-SUM(B46:K46)+SUM(B52:K52)</f>
        <v>794871.7948717949</v>
      </c>
      <c r="N46" s="1"/>
    </row>
    <row r="47" spans="1:14" ht="15">
      <c r="A47" s="31" t="s">
        <v>59</v>
      </c>
      <c r="B47" s="1">
        <f aca="true" t="shared" si="13" ref="B47:K47">B45-B46</f>
        <v>69487.17948717948</v>
      </c>
      <c r="C47" s="1">
        <f t="shared" si="13"/>
        <v>71737.17948717947</v>
      </c>
      <c r="D47" s="1">
        <f t="shared" si="13"/>
        <v>74043.42948717946</v>
      </c>
      <c r="E47" s="1">
        <f t="shared" si="13"/>
        <v>76407.33573717946</v>
      </c>
      <c r="F47" s="1">
        <f t="shared" si="13"/>
        <v>78830.33964342946</v>
      </c>
      <c r="G47" s="1">
        <f t="shared" si="13"/>
        <v>81313.91864733571</v>
      </c>
      <c r="H47" s="1">
        <f t="shared" si="13"/>
        <v>83859.58712633961</v>
      </c>
      <c r="I47" s="1">
        <f t="shared" si="13"/>
        <v>86468.89731731861</v>
      </c>
      <c r="J47" s="1">
        <f t="shared" si="13"/>
        <v>89143.44026307209</v>
      </c>
      <c r="K47" s="1">
        <f t="shared" si="13"/>
        <v>91884.8467824694</v>
      </c>
      <c r="L47" s="21" t="s">
        <v>60</v>
      </c>
      <c r="M47" s="1">
        <f>M45-M46</f>
        <v>485212.7493245624</v>
      </c>
      <c r="N47" s="1">
        <f>K47+M47</f>
        <v>577097.5961070318</v>
      </c>
    </row>
    <row r="48" spans="1:14" ht="15">
      <c r="A48" s="31" t="s">
        <v>61</v>
      </c>
      <c r="B48" s="1">
        <f aca="true" t="shared" si="14" ref="B48:K48">$C$7*B47</f>
        <v>27794.871794871797</v>
      </c>
      <c r="C48" s="1">
        <f t="shared" si="14"/>
        <v>28694.87179487179</v>
      </c>
      <c r="D48" s="1">
        <f t="shared" si="14"/>
        <v>29617.371794871782</v>
      </c>
      <c r="E48" s="1">
        <f t="shared" si="14"/>
        <v>30562.934294871782</v>
      </c>
      <c r="F48" s="1">
        <f t="shared" si="14"/>
        <v>31532.135857371784</v>
      </c>
      <c r="G48" s="1">
        <f t="shared" si="14"/>
        <v>32525.567458934285</v>
      </c>
      <c r="H48" s="1">
        <f t="shared" si="14"/>
        <v>33543.834850535844</v>
      </c>
      <c r="I48" s="1">
        <f t="shared" si="14"/>
        <v>34587.55892692744</v>
      </c>
      <c r="J48" s="1">
        <f t="shared" si="14"/>
        <v>35657.37610522884</v>
      </c>
      <c r="K48" s="1">
        <f t="shared" si="14"/>
        <v>36753.93871298776</v>
      </c>
      <c r="L48" s="21" t="s">
        <v>62</v>
      </c>
      <c r="M48" s="1">
        <f>G7*M47</f>
        <v>135859.56981087747</v>
      </c>
      <c r="N48" s="1"/>
    </row>
    <row r="49" spans="1:14" ht="15">
      <c r="A49" s="31" t="s">
        <v>63</v>
      </c>
      <c r="B49" s="1">
        <f aca="true" t="shared" si="15" ref="B49:K49">B47-B48</f>
        <v>41692.30769230769</v>
      </c>
      <c r="C49" s="1">
        <f t="shared" si="15"/>
        <v>43042.30769230768</v>
      </c>
      <c r="D49" s="1">
        <f t="shared" si="15"/>
        <v>44426.05769230767</v>
      </c>
      <c r="E49" s="1">
        <f t="shared" si="15"/>
        <v>45844.40144230767</v>
      </c>
      <c r="F49" s="1">
        <f t="shared" si="15"/>
        <v>47298.20378605767</v>
      </c>
      <c r="G49" s="1">
        <f t="shared" si="15"/>
        <v>48788.35118840143</v>
      </c>
      <c r="H49" s="1">
        <f t="shared" si="15"/>
        <v>50315.75227580377</v>
      </c>
      <c r="I49" s="1">
        <f t="shared" si="15"/>
        <v>51881.33839039117</v>
      </c>
      <c r="J49" s="1">
        <f t="shared" si="15"/>
        <v>53486.06415784325</v>
      </c>
      <c r="K49" s="1">
        <f t="shared" si="15"/>
        <v>55130.90806948164</v>
      </c>
      <c r="L49" s="21" t="s">
        <v>64</v>
      </c>
      <c r="M49" s="1">
        <f>M47-M48</f>
        <v>349353.17951368494</v>
      </c>
      <c r="N49" s="1">
        <f>K49+M49</f>
        <v>404484.08758316655</v>
      </c>
    </row>
    <row r="50" spans="13:14" ht="15">
      <c r="M50" s="1"/>
      <c r="N50" s="1"/>
    </row>
    <row r="51" spans="1:14" ht="15">
      <c r="A51" t="s">
        <v>65</v>
      </c>
      <c r="M51" s="1"/>
      <c r="N51" s="1"/>
    </row>
    <row r="52" spans="1:14" ht="15">
      <c r="A52" s="31" t="s">
        <v>66</v>
      </c>
      <c r="B52" s="1">
        <f>D13</f>
        <v>0</v>
      </c>
      <c r="C52" s="1">
        <f>D14</f>
        <v>0</v>
      </c>
      <c r="D52" s="1">
        <f>D15</f>
        <v>0</v>
      </c>
      <c r="E52" s="1">
        <f>D16</f>
        <v>0</v>
      </c>
      <c r="F52" s="1">
        <f>D17</f>
        <v>0</v>
      </c>
      <c r="G52" s="1">
        <f>D18</f>
        <v>0</v>
      </c>
      <c r="H52" s="1">
        <f>D19</f>
        <v>0</v>
      </c>
      <c r="I52" s="1">
        <f>D20</f>
        <v>0</v>
      </c>
      <c r="J52" s="1">
        <f>D21</f>
        <v>0</v>
      </c>
      <c r="K52" s="1">
        <f>D22</f>
        <v>0</v>
      </c>
      <c r="M52" s="1"/>
      <c r="N52" s="1"/>
    </row>
    <row r="53" spans="1:14" ht="15">
      <c r="A53" s="31" t="s">
        <v>67</v>
      </c>
      <c r="B53" s="1">
        <f aca="true" t="shared" si="16" ref="B53:K53">B46</f>
        <v>20512.82051282051</v>
      </c>
      <c r="C53" s="1">
        <f t="shared" si="16"/>
        <v>20512.82051282051</v>
      </c>
      <c r="D53" s="1">
        <f t="shared" si="16"/>
        <v>20512.82051282051</v>
      </c>
      <c r="E53" s="1">
        <f t="shared" si="16"/>
        <v>20512.82051282051</v>
      </c>
      <c r="F53" s="1">
        <f t="shared" si="16"/>
        <v>20512.82051282051</v>
      </c>
      <c r="G53" s="1">
        <f t="shared" si="16"/>
        <v>20512.82051282051</v>
      </c>
      <c r="H53" s="1">
        <f t="shared" si="16"/>
        <v>20512.82051282051</v>
      </c>
      <c r="I53" s="1">
        <f t="shared" si="16"/>
        <v>20512.82051282051</v>
      </c>
      <c r="J53" s="1">
        <f t="shared" si="16"/>
        <v>20512.82051282051</v>
      </c>
      <c r="K53" s="1">
        <f t="shared" si="16"/>
        <v>20512.82051282051</v>
      </c>
      <c r="L53" s="21" t="s">
        <v>68</v>
      </c>
      <c r="M53" s="1">
        <f>M46</f>
        <v>794871.7948717949</v>
      </c>
      <c r="N53" s="1"/>
    </row>
    <row r="54" spans="1:14" ht="15">
      <c r="A54" s="31" t="s">
        <v>69</v>
      </c>
      <c r="B54" s="1">
        <f aca="true" t="shared" si="17" ref="B54:K54">B49-B52+B53</f>
        <v>62205.1282051282</v>
      </c>
      <c r="C54" s="1">
        <f t="shared" si="17"/>
        <v>63555.12820512819</v>
      </c>
      <c r="D54" s="1">
        <f t="shared" si="17"/>
        <v>64938.87820512819</v>
      </c>
      <c r="E54" s="1">
        <f t="shared" si="17"/>
        <v>66357.22195512819</v>
      </c>
      <c r="F54" s="1">
        <f t="shared" si="17"/>
        <v>67811.02429887818</v>
      </c>
      <c r="G54" s="1">
        <f t="shared" si="17"/>
        <v>69301.17170122195</v>
      </c>
      <c r="H54" s="1">
        <f t="shared" si="17"/>
        <v>70828.57278862428</v>
      </c>
      <c r="I54" s="1">
        <f t="shared" si="17"/>
        <v>72394.15890321168</v>
      </c>
      <c r="J54" s="1">
        <f t="shared" si="17"/>
        <v>73998.88467066376</v>
      </c>
      <c r="K54" s="1">
        <f t="shared" si="17"/>
        <v>75643.72858230215</v>
      </c>
      <c r="L54" s="21" t="s">
        <v>70</v>
      </c>
      <c r="M54" s="1">
        <f>M49+M53</f>
        <v>1144224.97438548</v>
      </c>
      <c r="N54" s="1">
        <f>K54+M54</f>
        <v>1219868.702967782</v>
      </c>
    </row>
    <row r="55" spans="13:14" ht="15">
      <c r="M55" s="1"/>
      <c r="N55" s="1"/>
    </row>
    <row r="56" spans="1:14" ht="15">
      <c r="A56" s="31" t="s">
        <v>71</v>
      </c>
      <c r="B56" s="1">
        <f aca="true" t="shared" si="18" ref="B56:K56">B48</f>
        <v>27794.871794871797</v>
      </c>
      <c r="C56" s="1">
        <f t="shared" si="18"/>
        <v>28694.87179487179</v>
      </c>
      <c r="D56" s="1">
        <f t="shared" si="18"/>
        <v>29617.371794871782</v>
      </c>
      <c r="E56" s="1">
        <f t="shared" si="18"/>
        <v>30562.934294871782</v>
      </c>
      <c r="F56" s="1">
        <f t="shared" si="18"/>
        <v>31532.135857371784</v>
      </c>
      <c r="G56" s="1">
        <f t="shared" si="18"/>
        <v>32525.567458934285</v>
      </c>
      <c r="H56" s="1">
        <f t="shared" si="18"/>
        <v>33543.834850535844</v>
      </c>
      <c r="I56" s="1">
        <f t="shared" si="18"/>
        <v>34587.55892692744</v>
      </c>
      <c r="J56" s="1">
        <f t="shared" si="18"/>
        <v>35657.37610522884</v>
      </c>
      <c r="K56" s="1">
        <f t="shared" si="18"/>
        <v>36753.93871298776</v>
      </c>
      <c r="L56" s="21" t="s">
        <v>72</v>
      </c>
      <c r="M56" s="1">
        <f>M48</f>
        <v>135859.56981087747</v>
      </c>
      <c r="N56" s="1"/>
    </row>
    <row r="57" spans="1:14" ht="15">
      <c r="A57" s="31" t="s">
        <v>73</v>
      </c>
      <c r="B57" s="1">
        <f aca="true" t="shared" si="19" ref="B57:K57">B54+B56</f>
        <v>90000</v>
      </c>
      <c r="C57" s="1">
        <f t="shared" si="19"/>
        <v>92249.99999999997</v>
      </c>
      <c r="D57" s="1">
        <f t="shared" si="19"/>
        <v>94556.24999999997</v>
      </c>
      <c r="E57" s="1">
        <f t="shared" si="19"/>
        <v>96920.15624999997</v>
      </c>
      <c r="F57" s="1">
        <f t="shared" si="19"/>
        <v>99343.16015624997</v>
      </c>
      <c r="G57" s="1">
        <f t="shared" si="19"/>
        <v>101826.73916015623</v>
      </c>
      <c r="H57" s="1">
        <f t="shared" si="19"/>
        <v>104372.40763916013</v>
      </c>
      <c r="I57" s="1">
        <f t="shared" si="19"/>
        <v>106981.71783013912</v>
      </c>
      <c r="J57" s="1">
        <f t="shared" si="19"/>
        <v>109656.26077589259</v>
      </c>
      <c r="K57" s="1">
        <f t="shared" si="19"/>
        <v>112397.66729528991</v>
      </c>
      <c r="L57" s="21" t="s">
        <v>73</v>
      </c>
      <c r="M57" s="1">
        <f>M54+M56</f>
        <v>1280084.5441963575</v>
      </c>
      <c r="N57" s="1">
        <f>K57+M57</f>
        <v>1392482.2114916474</v>
      </c>
    </row>
    <row r="58" spans="13:14" ht="15">
      <c r="M58" s="1"/>
      <c r="N58" s="1"/>
    </row>
    <row r="59" spans="13:14" ht="15">
      <c r="M59" s="1"/>
      <c r="N59" s="1"/>
    </row>
    <row r="60" spans="1:14" ht="22.5">
      <c r="A60" s="39" t="s">
        <v>155</v>
      </c>
      <c r="M60" s="1"/>
      <c r="N60" s="1"/>
    </row>
    <row r="61" spans="13:14" ht="15">
      <c r="M61" s="1"/>
      <c r="N61" s="1"/>
    </row>
    <row r="62" spans="1:14" ht="15">
      <c r="A62" t="s">
        <v>75</v>
      </c>
      <c r="C62" s="40">
        <f>B12</f>
        <v>1000000</v>
      </c>
      <c r="E62"/>
      <c r="F62" s="21" t="s">
        <v>76</v>
      </c>
      <c r="G62" s="21" t="s">
        <v>77</v>
      </c>
      <c r="H62"/>
      <c r="M62" s="1"/>
      <c r="N62" s="1"/>
    </row>
    <row r="63" spans="1:14" ht="15">
      <c r="A63" t="s">
        <v>78</v>
      </c>
      <c r="C63" s="1">
        <f>B12*G5</f>
        <v>800000</v>
      </c>
      <c r="E63" s="21" t="s">
        <v>79</v>
      </c>
      <c r="F63" s="20">
        <f>E24</f>
        <v>0.11499999999999977</v>
      </c>
      <c r="G63" s="20">
        <f>L24</f>
        <v>0.1480898901446579</v>
      </c>
      <c r="H63"/>
      <c r="M63" s="1"/>
      <c r="N63" s="1"/>
    </row>
    <row r="64" spans="1:14" ht="15">
      <c r="A64" t="s">
        <v>80</v>
      </c>
      <c r="C64" s="20">
        <f>C7</f>
        <v>0.4</v>
      </c>
      <c r="E64" s="21" t="s">
        <v>81</v>
      </c>
      <c r="F64" s="20">
        <f>H24</f>
        <v>0.07784961974432236</v>
      </c>
      <c r="G64" s="20">
        <f>M24</f>
        <v>0.12187465548304655</v>
      </c>
      <c r="H64"/>
      <c r="M64" s="1"/>
      <c r="N64" s="1"/>
    </row>
    <row r="65" spans="1:14" ht="15">
      <c r="A65" t="s">
        <v>82</v>
      </c>
      <c r="C65" s="20">
        <f>G7</f>
        <v>0.28</v>
      </c>
      <c r="M65" s="1"/>
      <c r="N65" s="1"/>
    </row>
    <row r="66" spans="1:15" ht="15">
      <c r="A66" t="s">
        <v>85</v>
      </c>
      <c r="B66" s="1" t="s">
        <v>85</v>
      </c>
      <c r="C66" s="1" t="s">
        <v>85</v>
      </c>
      <c r="D66" s="1" t="s">
        <v>85</v>
      </c>
      <c r="E66" s="1" t="s">
        <v>85</v>
      </c>
      <c r="F66" s="1" t="s">
        <v>85</v>
      </c>
      <c r="G66" s="1" t="s">
        <v>85</v>
      </c>
      <c r="H66" s="1" t="s">
        <v>85</v>
      </c>
      <c r="I66" s="1" t="s">
        <v>85</v>
      </c>
      <c r="J66" s="1" t="s">
        <v>85</v>
      </c>
      <c r="K66" s="1" t="s">
        <v>85</v>
      </c>
      <c r="L66" s="1" t="s">
        <v>85</v>
      </c>
      <c r="M66" t="s">
        <v>85</v>
      </c>
      <c r="N66" t="s">
        <v>85</v>
      </c>
      <c r="O66" s="1"/>
    </row>
    <row r="67" spans="1:15" ht="15">
      <c r="A67" s="1"/>
      <c r="H67"/>
      <c r="O67" s="1"/>
    </row>
    <row r="68" spans="2:15" ht="15">
      <c r="B68" s="27" t="s">
        <v>47</v>
      </c>
      <c r="K68" s="21" t="s">
        <v>48</v>
      </c>
      <c r="L68" s="21" t="s">
        <v>49</v>
      </c>
      <c r="M68" s="21" t="s">
        <v>50</v>
      </c>
      <c r="N68" s="21" t="s">
        <v>51</v>
      </c>
      <c r="O68" s="1"/>
    </row>
    <row r="69" spans="1:15" ht="15">
      <c r="A69" t="s">
        <v>52</v>
      </c>
      <c r="B69" s="42">
        <v>1</v>
      </c>
      <c r="C69" s="42">
        <v>2</v>
      </c>
      <c r="D69" s="42">
        <v>3</v>
      </c>
      <c r="E69" s="42">
        <v>4</v>
      </c>
      <c r="F69" s="42">
        <v>5</v>
      </c>
      <c r="G69" s="42">
        <v>6</v>
      </c>
      <c r="H69" s="42">
        <v>7</v>
      </c>
      <c r="I69" s="42">
        <v>8</v>
      </c>
      <c r="J69" s="42">
        <v>9</v>
      </c>
      <c r="K69" s="21" t="s">
        <v>53</v>
      </c>
      <c r="L69" s="21" t="s">
        <v>86</v>
      </c>
      <c r="M69" s="21" t="s">
        <v>53</v>
      </c>
      <c r="N69" s="21" t="s">
        <v>53</v>
      </c>
      <c r="O69" s="1"/>
    </row>
    <row r="70" spans="1:15" ht="15">
      <c r="A70" t="s">
        <v>55</v>
      </c>
      <c r="M70" s="1"/>
      <c r="N70" s="1"/>
      <c r="O70" s="1"/>
    </row>
    <row r="71" spans="1:15" ht="15">
      <c r="A71" s="31" t="s">
        <v>32</v>
      </c>
      <c r="B71" s="1">
        <f aca="true" t="shared" si="20" ref="B71:K72">B45</f>
        <v>90000</v>
      </c>
      <c r="C71" s="1">
        <f t="shared" si="20"/>
        <v>92249.99999999999</v>
      </c>
      <c r="D71" s="1">
        <f t="shared" si="20"/>
        <v>94556.24999999997</v>
      </c>
      <c r="E71" s="1">
        <f t="shared" si="20"/>
        <v>96920.15624999997</v>
      </c>
      <c r="F71" s="1">
        <f t="shared" si="20"/>
        <v>99343.16015624997</v>
      </c>
      <c r="G71" s="1">
        <f t="shared" si="20"/>
        <v>101826.73916015623</v>
      </c>
      <c r="H71" s="1">
        <f t="shared" si="20"/>
        <v>104372.40763916013</v>
      </c>
      <c r="I71" s="1">
        <f t="shared" si="20"/>
        <v>106981.71783013912</v>
      </c>
      <c r="J71" s="1">
        <f t="shared" si="20"/>
        <v>109656.2607758926</v>
      </c>
      <c r="K71" s="1">
        <f t="shared" si="20"/>
        <v>112397.66729528991</v>
      </c>
      <c r="L71" s="21" t="s">
        <v>56</v>
      </c>
      <c r="M71" s="1">
        <f>M45</f>
        <v>1280084.5441963573</v>
      </c>
      <c r="N71" s="1"/>
      <c r="O71" s="1"/>
    </row>
    <row r="72" spans="1:15" ht="15">
      <c r="A72" s="31" t="s">
        <v>87</v>
      </c>
      <c r="B72" s="1">
        <f t="shared" si="20"/>
        <v>20512.82051282051</v>
      </c>
      <c r="C72" s="1">
        <f t="shared" si="20"/>
        <v>20512.82051282051</v>
      </c>
      <c r="D72" s="1">
        <f t="shared" si="20"/>
        <v>20512.82051282051</v>
      </c>
      <c r="E72" s="1">
        <f t="shared" si="20"/>
        <v>20512.82051282051</v>
      </c>
      <c r="F72" s="1">
        <f t="shared" si="20"/>
        <v>20512.82051282051</v>
      </c>
      <c r="G72" s="1">
        <f t="shared" si="20"/>
        <v>20512.82051282051</v>
      </c>
      <c r="H72" s="1">
        <f t="shared" si="20"/>
        <v>20512.82051282051</v>
      </c>
      <c r="I72" s="1">
        <f t="shared" si="20"/>
        <v>20512.82051282051</v>
      </c>
      <c r="J72" s="1">
        <f t="shared" si="20"/>
        <v>20512.82051282051</v>
      </c>
      <c r="K72" s="1">
        <f t="shared" si="20"/>
        <v>20512.82051282051</v>
      </c>
      <c r="L72" s="21" t="s">
        <v>58</v>
      </c>
      <c r="M72" s="1">
        <f>M46</f>
        <v>794871.7948717949</v>
      </c>
      <c r="N72" s="1"/>
      <c r="O72" s="1"/>
    </row>
    <row r="73" spans="1:15" ht="15">
      <c r="A73" s="31" t="s">
        <v>88</v>
      </c>
      <c r="B73" s="1">
        <f>$J$6*I12</f>
        <v>75000</v>
      </c>
      <c r="C73" s="1">
        <f>$J$6*I13</f>
        <v>75000</v>
      </c>
      <c r="D73" s="1">
        <f>$J$6*$I14</f>
        <v>75000</v>
      </c>
      <c r="E73" s="1">
        <f>$J$6*$I15</f>
        <v>75000</v>
      </c>
      <c r="F73" s="1">
        <f>$J$6*$I16</f>
        <v>75000</v>
      </c>
      <c r="G73" s="1">
        <f>$J$6*$I17</f>
        <v>75000</v>
      </c>
      <c r="H73" s="1">
        <f>$J$6*$I18</f>
        <v>75000</v>
      </c>
      <c r="I73" s="1">
        <f>$J$6*$I19</f>
        <v>75000</v>
      </c>
      <c r="J73" s="1">
        <f>$J$6*$I20</f>
        <v>75000</v>
      </c>
      <c r="K73" s="1">
        <f>$J$6*$I21</f>
        <v>75000</v>
      </c>
      <c r="M73" s="1"/>
      <c r="N73" s="1"/>
      <c r="O73" s="1"/>
    </row>
    <row r="74" spans="1:15" ht="15">
      <c r="A74" s="31" t="s">
        <v>89</v>
      </c>
      <c r="B74" s="1">
        <f aca="true" t="shared" si="21" ref="B74:K74">B71-B72-B73</f>
        <v>-5512.820512820515</v>
      </c>
      <c r="C74" s="1">
        <f t="shared" si="21"/>
        <v>-3262.82051282053</v>
      </c>
      <c r="D74" s="1">
        <f t="shared" si="21"/>
        <v>-956.5705128205445</v>
      </c>
      <c r="E74" s="1">
        <f t="shared" si="21"/>
        <v>1407.3357371794555</v>
      </c>
      <c r="F74" s="1">
        <f t="shared" si="21"/>
        <v>3830.3396434294555</v>
      </c>
      <c r="G74" s="1">
        <f t="shared" si="21"/>
        <v>6313.918647335711</v>
      </c>
      <c r="H74" s="1">
        <f t="shared" si="21"/>
        <v>8859.587126339611</v>
      </c>
      <c r="I74" s="1">
        <f t="shared" si="21"/>
        <v>11468.89731731861</v>
      </c>
      <c r="J74" s="1">
        <f t="shared" si="21"/>
        <v>14143.440263072087</v>
      </c>
      <c r="K74" s="1">
        <f t="shared" si="21"/>
        <v>16884.846782469394</v>
      </c>
      <c r="L74" s="21" t="s">
        <v>60</v>
      </c>
      <c r="M74" s="1">
        <f>M71-M72</f>
        <v>485212.7493245624</v>
      </c>
      <c r="N74" s="1">
        <f>K74+M74</f>
        <v>502097.5961070318</v>
      </c>
      <c r="O74" s="1"/>
    </row>
    <row r="75" spans="1:15" ht="15">
      <c r="A75" s="31" t="s">
        <v>61</v>
      </c>
      <c r="B75" s="1">
        <f aca="true" t="shared" si="22" ref="B75:K75">$C$7*B74</f>
        <v>-2205.1282051282064</v>
      </c>
      <c r="C75" s="1">
        <f t="shared" si="22"/>
        <v>-1305.1282051282121</v>
      </c>
      <c r="D75" s="1">
        <f t="shared" si="22"/>
        <v>-382.6282051282178</v>
      </c>
      <c r="E75" s="1">
        <f t="shared" si="22"/>
        <v>562.9342948717822</v>
      </c>
      <c r="F75" s="1">
        <f t="shared" si="22"/>
        <v>1532.1358573717823</v>
      </c>
      <c r="G75" s="1">
        <f t="shared" si="22"/>
        <v>2525.567458934285</v>
      </c>
      <c r="H75" s="1">
        <f t="shared" si="22"/>
        <v>3543.8348505358445</v>
      </c>
      <c r="I75" s="1">
        <f t="shared" si="22"/>
        <v>4587.558926927444</v>
      </c>
      <c r="J75" s="1">
        <f t="shared" si="22"/>
        <v>5657.3761052288355</v>
      </c>
      <c r="K75" s="1">
        <f t="shared" si="22"/>
        <v>6753.938712987758</v>
      </c>
      <c r="L75" s="21" t="s">
        <v>62</v>
      </c>
      <c r="M75" s="1">
        <f>M48</f>
        <v>135859.56981087747</v>
      </c>
      <c r="N75" s="1"/>
      <c r="O75" s="1"/>
    </row>
    <row r="76" spans="1:15" ht="15">
      <c r="A76" s="31" t="s">
        <v>90</v>
      </c>
      <c r="B76" s="1">
        <f aca="true" t="shared" si="23" ref="B76:K76">B74-B75</f>
        <v>-3307.692307692309</v>
      </c>
      <c r="C76" s="1">
        <f t="shared" si="23"/>
        <v>-1957.6923076923179</v>
      </c>
      <c r="D76" s="1">
        <f t="shared" si="23"/>
        <v>-573.9423076923267</v>
      </c>
      <c r="E76" s="1">
        <f t="shared" si="23"/>
        <v>844.4014423076733</v>
      </c>
      <c r="F76" s="1">
        <f t="shared" si="23"/>
        <v>2298.203786057673</v>
      </c>
      <c r="G76" s="1">
        <f t="shared" si="23"/>
        <v>3788.3511884014265</v>
      </c>
      <c r="H76" s="1">
        <f t="shared" si="23"/>
        <v>5315.752275803767</v>
      </c>
      <c r="I76" s="1">
        <f t="shared" si="23"/>
        <v>6881.338390391165</v>
      </c>
      <c r="J76" s="1">
        <f t="shared" si="23"/>
        <v>8486.064157843251</v>
      </c>
      <c r="K76" s="1">
        <f t="shared" si="23"/>
        <v>10130.908069481637</v>
      </c>
      <c r="L76" s="21" t="s">
        <v>91</v>
      </c>
      <c r="M76" s="1">
        <f>M74-M75</f>
        <v>349353.17951368494</v>
      </c>
      <c r="N76" s="1">
        <f>K76+M76</f>
        <v>359484.08758316655</v>
      </c>
      <c r="O76" s="1"/>
    </row>
    <row r="77" spans="13:15" ht="15">
      <c r="M77" s="1"/>
      <c r="N77" s="1"/>
      <c r="O77" s="1"/>
    </row>
    <row r="78" spans="1:15" ht="15">
      <c r="A78" t="s">
        <v>65</v>
      </c>
      <c r="M78" s="1"/>
      <c r="N78" s="1"/>
      <c r="O78" s="1"/>
    </row>
    <row r="79" spans="1:15" ht="15">
      <c r="A79" s="31" t="s">
        <v>92</v>
      </c>
      <c r="B79" s="1">
        <f aca="true" t="shared" si="24" ref="B79:K79">B52</f>
        <v>0</v>
      </c>
      <c r="C79" s="1">
        <f t="shared" si="24"/>
        <v>0</v>
      </c>
      <c r="D79" s="1">
        <f t="shared" si="24"/>
        <v>0</v>
      </c>
      <c r="E79" s="1">
        <f t="shared" si="24"/>
        <v>0</v>
      </c>
      <c r="F79" s="1">
        <f t="shared" si="24"/>
        <v>0</v>
      </c>
      <c r="G79" s="1">
        <f t="shared" si="24"/>
        <v>0</v>
      </c>
      <c r="H79" s="1">
        <f t="shared" si="24"/>
        <v>0</v>
      </c>
      <c r="I79" s="1">
        <f t="shared" si="24"/>
        <v>0</v>
      </c>
      <c r="J79" s="1">
        <f t="shared" si="24"/>
        <v>0</v>
      </c>
      <c r="K79" s="1">
        <f t="shared" si="24"/>
        <v>0</v>
      </c>
      <c r="M79" s="1"/>
      <c r="N79" s="1"/>
      <c r="O79" s="1"/>
    </row>
    <row r="80" spans="1:15" ht="15">
      <c r="A80" s="31" t="s">
        <v>93</v>
      </c>
      <c r="B80" s="1">
        <f aca="true" t="shared" si="25" ref="B80:K80">B72</f>
        <v>20512.82051282051</v>
      </c>
      <c r="C80" s="1">
        <f t="shared" si="25"/>
        <v>20512.82051282051</v>
      </c>
      <c r="D80" s="1">
        <f t="shared" si="25"/>
        <v>20512.82051282051</v>
      </c>
      <c r="E80" s="1">
        <f t="shared" si="25"/>
        <v>20512.82051282051</v>
      </c>
      <c r="F80" s="1">
        <f t="shared" si="25"/>
        <v>20512.82051282051</v>
      </c>
      <c r="G80" s="1">
        <f t="shared" si="25"/>
        <v>20512.82051282051</v>
      </c>
      <c r="H80" s="1">
        <f t="shared" si="25"/>
        <v>20512.82051282051</v>
      </c>
      <c r="I80" s="1">
        <f t="shared" si="25"/>
        <v>20512.82051282051</v>
      </c>
      <c r="J80" s="1">
        <f t="shared" si="25"/>
        <v>20512.82051282051</v>
      </c>
      <c r="K80" s="1">
        <f t="shared" si="25"/>
        <v>20512.82051282051</v>
      </c>
      <c r="L80" s="21" t="s">
        <v>68</v>
      </c>
      <c r="M80" s="1">
        <f>M72</f>
        <v>794871.7948717949</v>
      </c>
      <c r="N80" s="1"/>
      <c r="O80" s="1"/>
    </row>
    <row r="81" spans="1:15" ht="15">
      <c r="A81" s="31" t="s">
        <v>94</v>
      </c>
      <c r="B81" s="1">
        <f aca="true" t="shared" si="26" ref="B81:K81">$J$7</f>
        <v>0</v>
      </c>
      <c r="C81" s="1">
        <f t="shared" si="26"/>
        <v>0</v>
      </c>
      <c r="D81" s="1">
        <f t="shared" si="26"/>
        <v>0</v>
      </c>
      <c r="E81" s="1">
        <f t="shared" si="26"/>
        <v>0</v>
      </c>
      <c r="F81" s="1">
        <f t="shared" si="26"/>
        <v>0</v>
      </c>
      <c r="G81" s="1">
        <f t="shared" si="26"/>
        <v>0</v>
      </c>
      <c r="H81" s="1">
        <f t="shared" si="26"/>
        <v>0</v>
      </c>
      <c r="I81" s="1">
        <f t="shared" si="26"/>
        <v>0</v>
      </c>
      <c r="J81" s="1">
        <f t="shared" si="26"/>
        <v>0</v>
      </c>
      <c r="K81" s="1">
        <f t="shared" si="26"/>
        <v>0</v>
      </c>
      <c r="L81" s="21" t="s">
        <v>95</v>
      </c>
      <c r="M81" s="1">
        <f>J5-SUM(B81:K81)</f>
        <v>750000</v>
      </c>
      <c r="N81" s="1"/>
      <c r="O81" s="1"/>
    </row>
    <row r="82" spans="1:15" ht="15">
      <c r="A82" s="31" t="s">
        <v>96</v>
      </c>
      <c r="B82" s="1">
        <f aca="true" t="shared" si="27" ref="B82:K82">B76-B79+B80-B81</f>
        <v>17205.128205128203</v>
      </c>
      <c r="C82" s="1">
        <f t="shared" si="27"/>
        <v>18555.128205128192</v>
      </c>
      <c r="D82" s="1">
        <f t="shared" si="27"/>
        <v>19938.878205128185</v>
      </c>
      <c r="E82" s="1">
        <f t="shared" si="27"/>
        <v>21357.221955128185</v>
      </c>
      <c r="F82" s="1">
        <f t="shared" si="27"/>
        <v>22811.024298878183</v>
      </c>
      <c r="G82" s="1">
        <f t="shared" si="27"/>
        <v>24301.171701221938</v>
      </c>
      <c r="H82" s="1">
        <f t="shared" si="27"/>
        <v>25828.57278862428</v>
      </c>
      <c r="I82" s="1">
        <f t="shared" si="27"/>
        <v>27394.158903211675</v>
      </c>
      <c r="J82" s="1">
        <f t="shared" si="27"/>
        <v>28998.884670663763</v>
      </c>
      <c r="K82" s="1">
        <f t="shared" si="27"/>
        <v>30643.72858230215</v>
      </c>
      <c r="L82" s="21" t="s">
        <v>96</v>
      </c>
      <c r="M82" s="1">
        <f>M76+M80-M81</f>
        <v>394224.97438547993</v>
      </c>
      <c r="N82" s="1">
        <f>K82+M82</f>
        <v>424868.7029677821</v>
      </c>
      <c r="O82" s="1"/>
    </row>
    <row r="83" spans="13:15" ht="15">
      <c r="M83" s="1"/>
      <c r="N83" s="1"/>
      <c r="O83" s="1"/>
    </row>
    <row r="84" spans="1:15" ht="15">
      <c r="A84" s="31" t="s">
        <v>71</v>
      </c>
      <c r="B84" s="1">
        <f aca="true" t="shared" si="28" ref="B84:K84">B75</f>
        <v>-2205.1282051282064</v>
      </c>
      <c r="C84" s="1">
        <f t="shared" si="28"/>
        <v>-1305.1282051282121</v>
      </c>
      <c r="D84" s="1">
        <f t="shared" si="28"/>
        <v>-382.6282051282178</v>
      </c>
      <c r="E84" s="1">
        <f t="shared" si="28"/>
        <v>562.9342948717822</v>
      </c>
      <c r="F84" s="1">
        <f t="shared" si="28"/>
        <v>1532.1358573717823</v>
      </c>
      <c r="G84" s="1">
        <f t="shared" si="28"/>
        <v>2525.567458934285</v>
      </c>
      <c r="H84" s="1">
        <f t="shared" si="28"/>
        <v>3543.8348505358445</v>
      </c>
      <c r="I84" s="1">
        <f t="shared" si="28"/>
        <v>4587.558926927444</v>
      </c>
      <c r="J84" s="1">
        <f t="shared" si="28"/>
        <v>5657.3761052288355</v>
      </c>
      <c r="K84" s="1">
        <f t="shared" si="28"/>
        <v>6753.938712987758</v>
      </c>
      <c r="L84" s="21" t="s">
        <v>72</v>
      </c>
      <c r="M84" s="1">
        <f>M75</f>
        <v>135859.56981087747</v>
      </c>
      <c r="N84" s="1"/>
      <c r="O84" s="1"/>
    </row>
    <row r="85" spans="1:15" ht="15">
      <c r="A85" s="31" t="s">
        <v>97</v>
      </c>
      <c r="B85" s="1">
        <f aca="true" t="shared" si="29" ref="B85:K85">B82+B84</f>
        <v>14999.999999999996</v>
      </c>
      <c r="C85" s="1">
        <f t="shared" si="29"/>
        <v>17249.99999999998</v>
      </c>
      <c r="D85" s="1">
        <f t="shared" si="29"/>
        <v>19556.249999999967</v>
      </c>
      <c r="E85" s="1">
        <f t="shared" si="29"/>
        <v>21920.156249999967</v>
      </c>
      <c r="F85" s="1">
        <f t="shared" si="29"/>
        <v>24343.160156249964</v>
      </c>
      <c r="G85" s="1">
        <f t="shared" si="29"/>
        <v>26826.739160156223</v>
      </c>
      <c r="H85" s="1">
        <f t="shared" si="29"/>
        <v>29372.407639160123</v>
      </c>
      <c r="I85" s="1">
        <f t="shared" si="29"/>
        <v>31981.717830139118</v>
      </c>
      <c r="J85" s="1">
        <f t="shared" si="29"/>
        <v>34656.2607758926</v>
      </c>
      <c r="K85" s="1">
        <f t="shared" si="29"/>
        <v>37397.66729528991</v>
      </c>
      <c r="L85" s="21" t="s">
        <v>97</v>
      </c>
      <c r="M85" s="1">
        <f>M82+M84</f>
        <v>530084.5441963574</v>
      </c>
      <c r="N85" s="1">
        <f>K85+M85</f>
        <v>567482.2114916473</v>
      </c>
      <c r="O85" s="1"/>
    </row>
    <row r="86" spans="13:15" ht="15">
      <c r="M86" s="1"/>
      <c r="N86" s="1"/>
      <c r="O86" s="1"/>
    </row>
    <row r="87" spans="1:15" ht="15">
      <c r="A87" t="s">
        <v>85</v>
      </c>
      <c r="B87" s="1" t="s">
        <v>85</v>
      </c>
      <c r="C87" s="1" t="s">
        <v>85</v>
      </c>
      <c r="D87" s="1" t="s">
        <v>85</v>
      </c>
      <c r="E87" s="1" t="s">
        <v>85</v>
      </c>
      <c r="F87" s="1" t="s">
        <v>85</v>
      </c>
      <c r="G87" s="1" t="s">
        <v>85</v>
      </c>
      <c r="H87" s="1" t="s">
        <v>85</v>
      </c>
      <c r="I87" s="1" t="s">
        <v>85</v>
      </c>
      <c r="J87" s="1" t="s">
        <v>85</v>
      </c>
      <c r="K87" s="1" t="s">
        <v>85</v>
      </c>
      <c r="L87" s="1" t="s">
        <v>85</v>
      </c>
      <c r="M87" s="1" t="s">
        <v>85</v>
      </c>
      <c r="N87" s="1" t="s">
        <v>85</v>
      </c>
      <c r="O87" s="1"/>
    </row>
    <row r="88" spans="1:8" ht="15">
      <c r="A88" s="1" t="s">
        <v>98</v>
      </c>
      <c r="H88"/>
    </row>
    <row r="89" spans="2:14" ht="15">
      <c r="B89" s="27" t="s">
        <v>47</v>
      </c>
      <c r="K89" s="21" t="s">
        <v>48</v>
      </c>
      <c r="L89" s="21" t="s">
        <v>49</v>
      </c>
      <c r="M89" s="31" t="s">
        <v>50</v>
      </c>
      <c r="N89" s="31" t="s">
        <v>51</v>
      </c>
    </row>
    <row r="90" spans="1:14" ht="15">
      <c r="A90" t="s">
        <v>52</v>
      </c>
      <c r="B90" s="42">
        <v>1</v>
      </c>
      <c r="C90" s="42">
        <v>2</v>
      </c>
      <c r="D90" s="42">
        <v>3</v>
      </c>
      <c r="E90" s="42">
        <v>4</v>
      </c>
      <c r="F90" s="42">
        <v>5</v>
      </c>
      <c r="G90" s="42">
        <v>6</v>
      </c>
      <c r="H90" s="42">
        <v>7</v>
      </c>
      <c r="I90" s="42">
        <v>8</v>
      </c>
      <c r="J90" s="42">
        <v>9</v>
      </c>
      <c r="K90" s="21" t="s">
        <v>53</v>
      </c>
      <c r="L90" s="21" t="s">
        <v>54</v>
      </c>
      <c r="M90" s="31" t="s">
        <v>53</v>
      </c>
      <c r="N90" s="31" t="s">
        <v>53</v>
      </c>
    </row>
    <row r="91" spans="1:14" ht="15">
      <c r="A91" t="s">
        <v>55</v>
      </c>
      <c r="M91" s="1"/>
      <c r="N91" s="1"/>
    </row>
    <row r="92" spans="1:14" ht="15">
      <c r="A92" s="31" t="s">
        <v>32</v>
      </c>
      <c r="B92" s="1">
        <f aca="true" t="shared" si="30" ref="B92:K92">B71</f>
        <v>90000</v>
      </c>
      <c r="C92" s="1">
        <f t="shared" si="30"/>
        <v>92249.99999999999</v>
      </c>
      <c r="D92" s="1">
        <f t="shared" si="30"/>
        <v>94556.24999999997</v>
      </c>
      <c r="E92" s="1">
        <f t="shared" si="30"/>
        <v>96920.15624999997</v>
      </c>
      <c r="F92" s="1">
        <f t="shared" si="30"/>
        <v>99343.16015624997</v>
      </c>
      <c r="G92" s="1">
        <f t="shared" si="30"/>
        <v>101826.73916015623</v>
      </c>
      <c r="H92" s="1">
        <f t="shared" si="30"/>
        <v>104372.40763916013</v>
      </c>
      <c r="I92" s="1">
        <f t="shared" si="30"/>
        <v>106981.71783013912</v>
      </c>
      <c r="J92" s="1">
        <f t="shared" si="30"/>
        <v>109656.2607758926</v>
      </c>
      <c r="K92" s="1">
        <f t="shared" si="30"/>
        <v>112397.66729528991</v>
      </c>
      <c r="L92" s="21" t="s">
        <v>56</v>
      </c>
      <c r="M92" s="1">
        <f>M71</f>
        <v>1280084.5441963573</v>
      </c>
      <c r="N92" s="1"/>
    </row>
    <row r="93" spans="1:14" ht="15">
      <c r="A93" s="31" t="s">
        <v>92</v>
      </c>
      <c r="B93" s="1">
        <f aca="true" t="shared" si="31" ref="B93:K93">B79</f>
        <v>0</v>
      </c>
      <c r="C93" s="1">
        <f t="shared" si="31"/>
        <v>0</v>
      </c>
      <c r="D93" s="1">
        <f t="shared" si="31"/>
        <v>0</v>
      </c>
      <c r="E93" s="1">
        <f t="shared" si="31"/>
        <v>0</v>
      </c>
      <c r="F93" s="1">
        <f t="shared" si="31"/>
        <v>0</v>
      </c>
      <c r="G93" s="1">
        <f t="shared" si="31"/>
        <v>0</v>
      </c>
      <c r="H93" s="1">
        <f t="shared" si="31"/>
        <v>0</v>
      </c>
      <c r="I93" s="1">
        <f t="shared" si="31"/>
        <v>0</v>
      </c>
      <c r="J93" s="1">
        <f t="shared" si="31"/>
        <v>0</v>
      </c>
      <c r="K93" s="1">
        <f t="shared" si="31"/>
        <v>0</v>
      </c>
      <c r="M93" s="1"/>
      <c r="N93" s="1"/>
    </row>
    <row r="94" spans="1:14" ht="15">
      <c r="A94" s="31" t="s">
        <v>73</v>
      </c>
      <c r="B94" s="1">
        <f aca="true" t="shared" si="32" ref="B94:K94">B92-B93</f>
        <v>90000</v>
      </c>
      <c r="C94" s="1">
        <f t="shared" si="32"/>
        <v>92249.99999999999</v>
      </c>
      <c r="D94" s="1">
        <f t="shared" si="32"/>
        <v>94556.24999999997</v>
      </c>
      <c r="E94" s="1">
        <f t="shared" si="32"/>
        <v>96920.15624999997</v>
      </c>
      <c r="F94" s="1">
        <f t="shared" si="32"/>
        <v>99343.16015624997</v>
      </c>
      <c r="G94" s="1">
        <f t="shared" si="32"/>
        <v>101826.73916015623</v>
      </c>
      <c r="H94" s="1">
        <f t="shared" si="32"/>
        <v>104372.40763916013</v>
      </c>
      <c r="I94" s="1">
        <f t="shared" si="32"/>
        <v>106981.71783013912</v>
      </c>
      <c r="J94" s="1">
        <f t="shared" si="32"/>
        <v>109656.2607758926</v>
      </c>
      <c r="K94" s="1">
        <f t="shared" si="32"/>
        <v>112397.66729528991</v>
      </c>
      <c r="L94" s="21" t="s">
        <v>73</v>
      </c>
      <c r="M94" s="1">
        <f>M92</f>
        <v>1280084.5441963573</v>
      </c>
      <c r="N94" s="1">
        <f>K94+M94</f>
        <v>1392482.2114916472</v>
      </c>
    </row>
    <row r="95" spans="1:14" ht="15">
      <c r="A95" s="43" t="s">
        <v>99</v>
      </c>
      <c r="B95" s="1">
        <f aca="true" t="shared" si="33" ref="B95:K95">B73+B81</f>
        <v>75000</v>
      </c>
      <c r="C95" s="1">
        <f t="shared" si="33"/>
        <v>75000</v>
      </c>
      <c r="D95" s="1">
        <f t="shared" si="33"/>
        <v>75000</v>
      </c>
      <c r="E95" s="1">
        <f t="shared" si="33"/>
        <v>75000</v>
      </c>
      <c r="F95" s="1">
        <f t="shared" si="33"/>
        <v>75000</v>
      </c>
      <c r="G95" s="1">
        <f t="shared" si="33"/>
        <v>75000</v>
      </c>
      <c r="H95" s="1">
        <f t="shared" si="33"/>
        <v>75000</v>
      </c>
      <c r="I95" s="1">
        <f t="shared" si="33"/>
        <v>75000</v>
      </c>
      <c r="J95" s="1">
        <f t="shared" si="33"/>
        <v>75000</v>
      </c>
      <c r="K95" s="1">
        <f t="shared" si="33"/>
        <v>75000</v>
      </c>
      <c r="L95" s="21" t="s">
        <v>100</v>
      </c>
      <c r="M95" s="1">
        <f>I22</f>
        <v>750000</v>
      </c>
      <c r="N95" s="1"/>
    </row>
    <row r="96" spans="1:14" ht="15">
      <c r="A96" s="31" t="s">
        <v>97</v>
      </c>
      <c r="B96" s="1">
        <f aca="true" t="shared" si="34" ref="B96:K96">B94-B95</f>
        <v>15000</v>
      </c>
      <c r="C96" s="1">
        <f t="shared" si="34"/>
        <v>17249.999999999985</v>
      </c>
      <c r="D96" s="1">
        <f t="shared" si="34"/>
        <v>19556.24999999997</v>
      </c>
      <c r="E96" s="1">
        <f t="shared" si="34"/>
        <v>21920.15624999997</v>
      </c>
      <c r="F96" s="1">
        <f t="shared" si="34"/>
        <v>24343.16015624997</v>
      </c>
      <c r="G96" s="1">
        <f t="shared" si="34"/>
        <v>26826.739160156227</v>
      </c>
      <c r="H96" s="1">
        <f t="shared" si="34"/>
        <v>29372.407639160127</v>
      </c>
      <c r="I96" s="1">
        <f t="shared" si="34"/>
        <v>31981.717830139125</v>
      </c>
      <c r="J96" s="1">
        <f t="shared" si="34"/>
        <v>34656.2607758926</v>
      </c>
      <c r="K96" s="1">
        <f t="shared" si="34"/>
        <v>37397.66729528991</v>
      </c>
      <c r="L96" s="21" t="s">
        <v>97</v>
      </c>
      <c r="M96" s="1">
        <f>M94-M95</f>
        <v>530084.5441963573</v>
      </c>
      <c r="N96" s="1">
        <f>K96+M96</f>
        <v>567482.2114916472</v>
      </c>
    </row>
    <row r="97" spans="1:256" ht="15">
      <c r="A97" s="21" t="s">
        <v>101</v>
      </c>
      <c r="B97" s="1">
        <f aca="true" t="shared" si="35" ref="B97:K97">$C$7*B92</f>
        <v>36000</v>
      </c>
      <c r="C97" s="1">
        <f t="shared" si="35"/>
        <v>36899.99999999999</v>
      </c>
      <c r="D97" s="1">
        <f t="shared" si="35"/>
        <v>37822.49999999999</v>
      </c>
      <c r="E97" s="1">
        <f t="shared" si="35"/>
        <v>38768.06249999999</v>
      </c>
      <c r="F97" s="1">
        <f t="shared" si="35"/>
        <v>39737.26406249999</v>
      </c>
      <c r="G97" s="1">
        <f t="shared" si="35"/>
        <v>40730.69566406249</v>
      </c>
      <c r="H97" s="1">
        <f t="shared" si="35"/>
        <v>41748.963055664055</v>
      </c>
      <c r="I97" s="1">
        <f t="shared" si="35"/>
        <v>42792.68713205565</v>
      </c>
      <c r="J97" s="1">
        <f t="shared" si="35"/>
        <v>43862.50431035704</v>
      </c>
      <c r="K97" s="1">
        <f t="shared" si="35"/>
        <v>44959.06691811597</v>
      </c>
      <c r="L97" s="21" t="s">
        <v>102</v>
      </c>
      <c r="M97" s="1">
        <f>G7*(M92-(B12+SUM(B93:K93)))</f>
        <v>78423.67237498004</v>
      </c>
      <c r="N97" s="1">
        <f>K97+M97</f>
        <v>123382.739293096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14" ht="15">
      <c r="A98" s="31" t="s">
        <v>103</v>
      </c>
      <c r="B98" s="1">
        <f aca="true" t="shared" si="36" ref="B98:K99">$C$7*B72</f>
        <v>8205.128205128205</v>
      </c>
      <c r="C98" s="1">
        <f t="shared" si="36"/>
        <v>8205.128205128205</v>
      </c>
      <c r="D98" s="1">
        <f t="shared" si="36"/>
        <v>8205.128205128205</v>
      </c>
      <c r="E98" s="1">
        <f t="shared" si="36"/>
        <v>8205.128205128205</v>
      </c>
      <c r="F98" s="1">
        <f t="shared" si="36"/>
        <v>8205.128205128205</v>
      </c>
      <c r="G98" s="1">
        <f t="shared" si="36"/>
        <v>8205.128205128205</v>
      </c>
      <c r="H98" s="1">
        <f t="shared" si="36"/>
        <v>8205.128205128205</v>
      </c>
      <c r="I98" s="1">
        <f t="shared" si="36"/>
        <v>8205.128205128205</v>
      </c>
      <c r="J98" s="1">
        <f t="shared" si="36"/>
        <v>8205.128205128205</v>
      </c>
      <c r="K98" s="1">
        <f t="shared" si="36"/>
        <v>8205.128205128205</v>
      </c>
      <c r="L98" s="21" t="s">
        <v>104</v>
      </c>
      <c r="M98" s="1">
        <f>-G7*SUM(B72:K72)</f>
        <v>-57435.89743589743</v>
      </c>
      <c r="N98" s="1">
        <f>K98+M98</f>
        <v>-49230.76923076923</v>
      </c>
    </row>
    <row r="99" spans="1:14" ht="15">
      <c r="A99" s="31" t="s">
        <v>105</v>
      </c>
      <c r="B99" s="1">
        <f t="shared" si="36"/>
        <v>30000</v>
      </c>
      <c r="C99" s="1">
        <f t="shared" si="36"/>
        <v>30000</v>
      </c>
      <c r="D99" s="1">
        <f t="shared" si="36"/>
        <v>30000</v>
      </c>
      <c r="E99" s="1">
        <f t="shared" si="36"/>
        <v>30000</v>
      </c>
      <c r="F99" s="1">
        <f t="shared" si="36"/>
        <v>30000</v>
      </c>
      <c r="G99" s="1">
        <f t="shared" si="36"/>
        <v>30000</v>
      </c>
      <c r="H99" s="1">
        <f t="shared" si="36"/>
        <v>30000</v>
      </c>
      <c r="I99" s="1">
        <f t="shared" si="36"/>
        <v>30000</v>
      </c>
      <c r="J99" s="1">
        <f t="shared" si="36"/>
        <v>30000</v>
      </c>
      <c r="K99" s="1">
        <f t="shared" si="36"/>
        <v>30000</v>
      </c>
      <c r="M99" s="1"/>
      <c r="N99" s="1">
        <f>K99+M99</f>
        <v>30000</v>
      </c>
    </row>
    <row r="100" spans="1:14" ht="15">
      <c r="A100" s="31" t="s">
        <v>96</v>
      </c>
      <c r="B100" s="1">
        <f aca="true" t="shared" si="37" ref="B100:K100">B96-B97+B98+B99</f>
        <v>17205.128205128203</v>
      </c>
      <c r="C100" s="1">
        <f t="shared" si="37"/>
        <v>18555.128205128196</v>
      </c>
      <c r="D100" s="1">
        <f t="shared" si="37"/>
        <v>19938.87820512818</v>
      </c>
      <c r="E100" s="1">
        <f t="shared" si="37"/>
        <v>21357.22195512818</v>
      </c>
      <c r="F100" s="1">
        <f t="shared" si="37"/>
        <v>22811.024298878183</v>
      </c>
      <c r="G100" s="1">
        <f t="shared" si="37"/>
        <v>24301.171701221938</v>
      </c>
      <c r="H100" s="1">
        <f t="shared" si="37"/>
        <v>25828.572788624275</v>
      </c>
      <c r="I100" s="1">
        <f t="shared" si="37"/>
        <v>27394.158903211675</v>
      </c>
      <c r="J100" s="1">
        <f t="shared" si="37"/>
        <v>28998.884670663763</v>
      </c>
      <c r="K100" s="1">
        <f t="shared" si="37"/>
        <v>30643.728582302145</v>
      </c>
      <c r="L100" s="31" t="s">
        <v>44</v>
      </c>
      <c r="M100" s="1">
        <f>M96-M97+M98+M99</f>
        <v>394224.97438547976</v>
      </c>
      <c r="N100" s="1">
        <f>K100+M100</f>
        <v>424868.7029677819</v>
      </c>
    </row>
    <row r="8175" spans="2:12" ht="15">
      <c r="B8175"/>
      <c r="C8175"/>
      <c r="D8175"/>
      <c r="E8175"/>
      <c r="F8175"/>
      <c r="G8175"/>
      <c r="H8175"/>
      <c r="J8175"/>
      <c r="K8175"/>
      <c r="L8175"/>
    </row>
    <row r="8176" spans="2:12" ht="15">
      <c r="B8176"/>
      <c r="C8176"/>
      <c r="D8176"/>
      <c r="E8176"/>
      <c r="F8176"/>
      <c r="G8176"/>
      <c r="H8176"/>
      <c r="J8176"/>
      <c r="K8176"/>
      <c r="L8176"/>
    </row>
    <row r="8177" spans="2:12" ht="15">
      <c r="B8177"/>
      <c r="C8177"/>
      <c r="D8177"/>
      <c r="E8177"/>
      <c r="F8177"/>
      <c r="G8177"/>
      <c r="H8177"/>
      <c r="J8177"/>
      <c r="K8177"/>
      <c r="L8177"/>
    </row>
    <row r="8178" spans="2:12" ht="15">
      <c r="B8178"/>
      <c r="C8178"/>
      <c r="D8178"/>
      <c r="E8178"/>
      <c r="F8178"/>
      <c r="G8178"/>
      <c r="H8178"/>
      <c r="J8178"/>
      <c r="K8178"/>
      <c r="L8178"/>
    </row>
    <row r="8179" spans="2:12" ht="15">
      <c r="B8179"/>
      <c r="C8179"/>
      <c r="D8179"/>
      <c r="E8179"/>
      <c r="F8179"/>
      <c r="G8179"/>
      <c r="H8179"/>
      <c r="J8179"/>
      <c r="K8179"/>
      <c r="L8179"/>
    </row>
    <row r="8180" spans="2:12" ht="15">
      <c r="B8180"/>
      <c r="C8180"/>
      <c r="D8180"/>
      <c r="E8180"/>
      <c r="F8180"/>
      <c r="G8180"/>
      <c r="H8180"/>
      <c r="J8180"/>
      <c r="K8180"/>
      <c r="L8180"/>
    </row>
    <row r="8181" spans="2:12" ht="15">
      <c r="B8181"/>
      <c r="C8181"/>
      <c r="D8181"/>
      <c r="E8181"/>
      <c r="F8181"/>
      <c r="G8181"/>
      <c r="H8181"/>
      <c r="J8181"/>
      <c r="K8181"/>
      <c r="L8181"/>
    </row>
    <row r="8182" spans="2:12" ht="15">
      <c r="B8182"/>
      <c r="C8182"/>
      <c r="D8182"/>
      <c r="E8182"/>
      <c r="F8182"/>
      <c r="G8182"/>
      <c r="H8182"/>
      <c r="J8182"/>
      <c r="K8182"/>
      <c r="L8182"/>
    </row>
    <row r="8183" spans="2:12" ht="15">
      <c r="B8183"/>
      <c r="C8183"/>
      <c r="D8183"/>
      <c r="E8183"/>
      <c r="F8183"/>
      <c r="G8183"/>
      <c r="H8183"/>
      <c r="J8183"/>
      <c r="K8183"/>
      <c r="L8183"/>
    </row>
    <row r="8184" spans="2:12" ht="15">
      <c r="B8184"/>
      <c r="C8184"/>
      <c r="D8184"/>
      <c r="E8184"/>
      <c r="F8184"/>
      <c r="G8184"/>
      <c r="H8184"/>
      <c r="J8184"/>
      <c r="K8184"/>
      <c r="L8184"/>
    </row>
    <row r="8185" spans="2:12" ht="15">
      <c r="B8185"/>
      <c r="C8185"/>
      <c r="D8185"/>
      <c r="E8185"/>
      <c r="F8185"/>
      <c r="G8185"/>
      <c r="H8185"/>
      <c r="J8185"/>
      <c r="K8185"/>
      <c r="L8185"/>
    </row>
    <row r="8186" spans="2:12" ht="15">
      <c r="B8186"/>
      <c r="C8186"/>
      <c r="D8186"/>
      <c r="E8186"/>
      <c r="F8186"/>
      <c r="G8186"/>
      <c r="H8186"/>
      <c r="J8186"/>
      <c r="K8186"/>
      <c r="L8186"/>
    </row>
    <row r="8187" spans="2:12" ht="15">
      <c r="B8187"/>
      <c r="C8187"/>
      <c r="D8187"/>
      <c r="E8187"/>
      <c r="F8187"/>
      <c r="G8187"/>
      <c r="H8187"/>
      <c r="J8187"/>
      <c r="K8187"/>
      <c r="L8187"/>
    </row>
    <row r="8188" spans="2:12" ht="15">
      <c r="B8188"/>
      <c r="C8188"/>
      <c r="D8188"/>
      <c r="E8188"/>
      <c r="F8188"/>
      <c r="G8188"/>
      <c r="H8188"/>
      <c r="J8188"/>
      <c r="K8188"/>
      <c r="L8188"/>
    </row>
    <row r="8189" spans="2:12" ht="15">
      <c r="B8189"/>
      <c r="C8189"/>
      <c r="D8189"/>
      <c r="E8189"/>
      <c r="F8189"/>
      <c r="G8189"/>
      <c r="H8189"/>
      <c r="J8189"/>
      <c r="K8189"/>
      <c r="L8189"/>
    </row>
    <row r="8190" spans="2:12" ht="15">
      <c r="B8190"/>
      <c r="C8190"/>
      <c r="D8190"/>
      <c r="E8190"/>
      <c r="F8190"/>
      <c r="G8190"/>
      <c r="H8190"/>
      <c r="J8190"/>
      <c r="K8190"/>
      <c r="L8190"/>
    </row>
    <row r="8191" spans="2:12" ht="15">
      <c r="B8191"/>
      <c r="C8191"/>
      <c r="D8191"/>
      <c r="E8191"/>
      <c r="F8191"/>
      <c r="G8191"/>
      <c r="H8191"/>
      <c r="J8191"/>
      <c r="K8191"/>
      <c r="L8191"/>
    </row>
    <row r="8192" spans="2:12" ht="15">
      <c r="B8192"/>
      <c r="C8192"/>
      <c r="D8192"/>
      <c r="E8192"/>
      <c r="F8192"/>
      <c r="G8192"/>
      <c r="H8192"/>
      <c r="J8192"/>
      <c r="K8192"/>
      <c r="L8192"/>
    </row>
    <row r="8193" spans="2:12" ht="15">
      <c r="B8193"/>
      <c r="C8193"/>
      <c r="D8193"/>
      <c r="E8193"/>
      <c r="F8193"/>
      <c r="G8193"/>
      <c r="H8193"/>
      <c r="J8193"/>
      <c r="K8193"/>
      <c r="L8193"/>
    </row>
    <row r="8194" spans="2:12" ht="15">
      <c r="B8194"/>
      <c r="C8194"/>
      <c r="D8194"/>
      <c r="E8194"/>
      <c r="F8194"/>
      <c r="G8194"/>
      <c r="H8194"/>
      <c r="J8194"/>
      <c r="K8194"/>
      <c r="L8194"/>
    </row>
    <row r="8195" spans="2:12" ht="15">
      <c r="B8195"/>
      <c r="C8195"/>
      <c r="D8195"/>
      <c r="E8195"/>
      <c r="F8195"/>
      <c r="G8195"/>
      <c r="H8195"/>
      <c r="J8195"/>
      <c r="K8195"/>
      <c r="L8195"/>
    </row>
    <row r="8196" spans="2:12" ht="15">
      <c r="B8196"/>
      <c r="C8196"/>
      <c r="D8196"/>
      <c r="E8196"/>
      <c r="F8196"/>
      <c r="G8196"/>
      <c r="H8196"/>
      <c r="J8196"/>
      <c r="K8196"/>
      <c r="L8196"/>
    </row>
    <row r="8197" spans="2:12" ht="15">
      <c r="B8197"/>
      <c r="C8197"/>
      <c r="D8197"/>
      <c r="E8197"/>
      <c r="F8197"/>
      <c r="G8197"/>
      <c r="H8197"/>
      <c r="J8197"/>
      <c r="K8197"/>
      <c r="L8197"/>
    </row>
    <row r="8198" spans="2:12" ht="15">
      <c r="B8198"/>
      <c r="C8198"/>
      <c r="D8198"/>
      <c r="E8198"/>
      <c r="F8198"/>
      <c r="G8198"/>
      <c r="H8198"/>
      <c r="J8198"/>
      <c r="K8198"/>
      <c r="L8198"/>
    </row>
    <row r="8199" spans="2:12" ht="15">
      <c r="B8199"/>
      <c r="C8199"/>
      <c r="D8199"/>
      <c r="E8199"/>
      <c r="F8199"/>
      <c r="G8199"/>
      <c r="H8199"/>
      <c r="J8199"/>
      <c r="K8199"/>
      <c r="L8199"/>
    </row>
    <row r="8200" spans="2:12" ht="15">
      <c r="B8200"/>
      <c r="C8200"/>
      <c r="D8200"/>
      <c r="E8200"/>
      <c r="F8200"/>
      <c r="G8200"/>
      <c r="H8200"/>
      <c r="J8200"/>
      <c r="K8200"/>
      <c r="L8200"/>
    </row>
    <row r="8201" spans="2:12" ht="15">
      <c r="B8201"/>
      <c r="C8201"/>
      <c r="D8201"/>
      <c r="E8201"/>
      <c r="F8201"/>
      <c r="G8201"/>
      <c r="H8201"/>
      <c r="J8201"/>
      <c r="K8201"/>
      <c r="L8201"/>
    </row>
    <row r="8202" spans="2:12" ht="15">
      <c r="B8202"/>
      <c r="C8202"/>
      <c r="D8202"/>
      <c r="E8202"/>
      <c r="F8202"/>
      <c r="G8202"/>
      <c r="H8202"/>
      <c r="J8202"/>
      <c r="K8202"/>
      <c r="L8202"/>
    </row>
    <row r="8203" spans="2:12" ht="15">
      <c r="B8203"/>
      <c r="C8203"/>
      <c r="D8203"/>
      <c r="E8203"/>
      <c r="F8203"/>
      <c r="G8203"/>
      <c r="H8203"/>
      <c r="J8203"/>
      <c r="K8203"/>
      <c r="L8203"/>
    </row>
    <row r="8204" spans="2:12" ht="15">
      <c r="B8204"/>
      <c r="C8204"/>
      <c r="D8204"/>
      <c r="E8204"/>
      <c r="F8204"/>
      <c r="G8204"/>
      <c r="H8204"/>
      <c r="J8204"/>
      <c r="K8204"/>
      <c r="L8204"/>
    </row>
    <row r="8205" spans="2:12" ht="15">
      <c r="B8205"/>
      <c r="C8205"/>
      <c r="D8205"/>
      <c r="E8205"/>
      <c r="F8205"/>
      <c r="G8205"/>
      <c r="H8205"/>
      <c r="J8205"/>
      <c r="K8205"/>
      <c r="L8205"/>
    </row>
    <row r="8206" spans="2:12" ht="15">
      <c r="B8206"/>
      <c r="C8206"/>
      <c r="D8206"/>
      <c r="E8206"/>
      <c r="F8206"/>
      <c r="G8206"/>
      <c r="H8206"/>
      <c r="J8206"/>
      <c r="K8206"/>
      <c r="L8206"/>
    </row>
  </sheetData>
  <sheetProtection/>
  <printOptions/>
  <pageMargins left="0.5" right="0.5" top="0.5" bottom="0.55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</dc:creator>
  <cp:keywords/>
  <dc:description/>
  <cp:lastModifiedBy>dgeltner</cp:lastModifiedBy>
  <dcterms:created xsi:type="dcterms:W3CDTF">2005-12-23T19:23:55Z</dcterms:created>
  <dcterms:modified xsi:type="dcterms:W3CDTF">2013-02-23T20:26:27Z</dcterms:modified>
  <cp:category/>
  <cp:version/>
  <cp:contentType/>
  <cp:contentStatus/>
</cp:coreProperties>
</file>